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Summary" sheetId="2" state="visible" r:id="rId2"/>
    <sheet name="DD Questionnaire" sheetId="3" state="visible" r:id="rId3"/>
    <sheet name="Quick screen" sheetId="4" state="visible" r:id="rId4"/>
    <sheet name="Calculators" sheetId="5" state="visible" r:id="rId5"/>
    <sheet name="Glossary" sheetId="6" state="visible" r:id="rId6"/>
    <sheet name="Reference names" sheetId="7" state="visible" r:id="rId7"/>
    <sheet name="Report map" sheetId="8" state="visible" r:id="rId8"/>
    <sheet name="Changelog" sheetId="9" state="visible" r:id="rId9"/>
    <sheet name="V9 to V10 map" sheetId="10" state="visible" r:id="rId10"/>
  </sheets>
  <definedNames>
    <definedName name="_xlnm._FilterDatabase" localSheetId="2" hidden="1">'DD Questionnaire'!$A$14:$P$229</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rial"/>
      <b val="1"/>
      <color rgb="001F4E5A"/>
      <sz val="16"/>
    </font>
    <font>
      <name val="Arial"/>
      <color rgb="00555555"/>
      <sz val="9"/>
    </font>
    <font>
      <name val="Arial"/>
      <b val="1"/>
      <sz val="10"/>
    </font>
    <font>
      <name val="Arial"/>
      <sz val="10"/>
    </font>
    <font>
      <name val="Arial"/>
      <b val="1"/>
      <color rgb="001F4E5A"/>
      <sz val="12"/>
    </font>
    <font>
      <name val="Arial"/>
      <b val="1"/>
      <color rgb="00FFFFFF"/>
      <sz val="10"/>
    </font>
    <font>
      <name val="Arial"/>
      <color rgb="000000FF"/>
      <sz val="10"/>
    </font>
    <font>
      <name val="Arial"/>
      <color rgb="001F4E5A"/>
      <sz val="10"/>
      <u val="single"/>
    </font>
  </fonts>
  <fills count="5">
    <fill>
      <patternFill/>
    </fill>
    <fill>
      <patternFill patternType="gray125"/>
    </fill>
    <fill>
      <patternFill patternType="solid">
        <fgColor rgb="001F4E5A"/>
      </patternFill>
    </fill>
    <fill>
      <patternFill patternType="solid">
        <fgColor rgb="00FFF7CC"/>
      </patternFill>
    </fill>
    <fill>
      <patternFill patternType="solid">
        <fgColor rgb="00D9E6EA"/>
      </patternFill>
    </fill>
  </fills>
  <borders count="5">
    <border>
      <left/>
      <right/>
      <top/>
      <bottom/>
      <diagonal/>
    </border>
    <border>
      <left style="thin">
        <color rgb="00C8D0D6"/>
      </left>
      <right style="thin">
        <color rgb="00C8D0D6"/>
      </right>
      <top style="thin">
        <color rgb="00C8D0D6"/>
      </top>
      <bottom style="thin">
        <color rgb="00C8D0D6"/>
      </bottom>
    </border>
    <border>
      <left/>
      <right/>
      <top style="thin">
        <color rgb="00C8D0D6"/>
      </top>
      <bottom/>
      <diagonal/>
    </border>
    <border>
      <left/>
      <right style="thin">
        <color rgb="00C8D0D6"/>
      </right>
      <top style="thin">
        <color rgb="00C8D0D6"/>
      </top>
      <bottom/>
      <diagonal/>
    </border>
    <border>
      <left/>
      <right style="thin">
        <color rgb="00C8D0D6"/>
      </right>
      <top style="thin">
        <color rgb="00C8D0D6"/>
      </top>
      <bottom style="thin">
        <color rgb="00C8D0D6"/>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4" fillId="0" borderId="0" pivotButton="0" quotePrefix="0" xfId="0"/>
    <xf numFmtId="0" fontId="6" fillId="2" borderId="0" pivotButton="0" quotePrefix="0" xfId="0"/>
    <xf numFmtId="0" fontId="6" fillId="2" borderId="0" applyAlignment="1" pivotButton="0" quotePrefix="0" xfId="0">
      <alignment horizontal="center" vertical="top" wrapText="1"/>
    </xf>
    <xf numFmtId="0" fontId="7" fillId="3" borderId="1" pivotButton="0" quotePrefix="0" xfId="0"/>
    <xf numFmtId="0" fontId="0" fillId="0" borderId="4" pivotButton="0" quotePrefix="0" xfId="0"/>
    <xf numFmtId="3" fontId="7" fillId="3" borderId="1" pivotButton="0" quotePrefix="0" xfId="0"/>
    <xf numFmtId="3" fontId="3" fillId="0" borderId="1" pivotButton="0" quotePrefix="0" xfId="0"/>
    <xf numFmtId="0" fontId="6" fillId="2" borderId="1" applyAlignment="1" pivotButton="0" quotePrefix="0" xfId="0">
      <alignment horizontal="center" vertical="top" wrapText="1"/>
    </xf>
    <xf numFmtId="0" fontId="3" fillId="4" borderId="1" pivotButton="0" quotePrefix="0" xfId="0"/>
    <xf numFmtId="0" fontId="2" fillId="4" borderId="1" pivotButton="0" quotePrefix="0" xfId="0"/>
    <xf numFmtId="0" fontId="2" fillId="4" borderId="1" applyAlignment="1" pivotButton="0" quotePrefix="0" xfId="0">
      <alignment vertical="top" wrapText="1"/>
    </xf>
    <xf numFmtId="0" fontId="0" fillId="4" borderId="1" pivotButton="0" quotePrefix="0" xfId="0"/>
    <xf numFmtId="0" fontId="4" fillId="0" borderId="1" applyAlignment="1" pivotButton="0" quotePrefix="0" xfId="0">
      <alignment horizontal="center" vertical="top" wrapText="1"/>
    </xf>
    <xf numFmtId="0" fontId="4" fillId="0" borderId="1" applyAlignment="1" pivotButton="0" quotePrefix="0" xfId="0">
      <alignment vertical="top" wrapText="1"/>
    </xf>
    <xf numFmtId="0" fontId="4" fillId="3" borderId="1" applyAlignment="1" pivotButton="0" quotePrefix="0" xfId="0">
      <alignment vertical="top" wrapText="1"/>
    </xf>
    <xf numFmtId="0" fontId="4" fillId="3" borderId="1" applyAlignment="1" pivotButton="0" quotePrefix="0" xfId="0">
      <alignment horizontal="center" vertical="top" wrapText="1"/>
    </xf>
    <xf numFmtId="4" fontId="7" fillId="3" borderId="1" pivotButton="0" quotePrefix="0" xfId="0"/>
    <xf numFmtId="0" fontId="2" fillId="0" borderId="0" applyAlignment="1" pivotButton="0" quotePrefix="0" xfId="0">
      <alignment vertical="top" wrapText="1"/>
    </xf>
    <xf numFmtId="4" fontId="3" fillId="0" borderId="1" pivotButton="0" quotePrefix="0" xfId="0"/>
    <xf numFmtId="164" fontId="3" fillId="0" borderId="1" pivotButton="0" quotePrefix="0" xfId="0"/>
    <xf numFmtId="0" fontId="3" fillId="0" borderId="1" pivotButton="0" quotePrefix="0" xfId="0"/>
    <xf numFmtId="0" fontId="3" fillId="0" borderId="0" applyAlignment="1" pivotButton="0" quotePrefix="0" xfId="0">
      <alignment vertical="top" wrapText="1"/>
    </xf>
    <xf numFmtId="0" fontId="6" fillId="2"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dxfs count="8">
    <dxf>
      <font>
        <name val="Arial"/>
        <b val="1"/>
        <color rgb="009C0006"/>
        <sz val="10"/>
      </font>
    </dxf>
    <dxf>
      <font>
        <name val="Arial"/>
        <color rgb="00006100"/>
        <sz val="10"/>
      </font>
      <fill>
        <patternFill patternType="solid">
          <fgColor rgb="00C6EFCE"/>
        </patternFill>
      </fill>
    </dxf>
    <dxf>
      <font>
        <name val="Arial"/>
        <color rgb="009C5700"/>
        <sz val="10"/>
      </font>
      <fill>
        <patternFill patternType="solid">
          <fgColor rgb="00FFEB9C"/>
        </patternFill>
      </fill>
    </dxf>
    <dxf>
      <font>
        <name val="Arial"/>
        <color rgb="009C0006"/>
        <sz val="10"/>
      </font>
      <fill>
        <patternFill patternType="solid">
          <fgColor rgb="00FFC7CE"/>
        </patternFill>
      </fill>
    </dxf>
    <dxf>
      <font>
        <name val="Arial"/>
        <color rgb="00A6A6A6"/>
        <sz val="10"/>
      </font>
      <fill>
        <patternFill patternType="solid">
          <fgColor rgb="00F2F2F2"/>
        </patternFill>
      </fill>
    </dxf>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9FB8C0"/>
    <outlinePr summaryBelow="1" summaryRight="1"/>
    <pageSetUpPr/>
  </sheetPr>
  <dimension ref="A1:B42"/>
  <sheetViews>
    <sheetView showGridLines="0" workbookViewId="0">
      <selection activeCell="A1" sqref="A1"/>
    </sheetView>
  </sheetViews>
  <sheetFormatPr baseColWidth="8" defaultRowHeight="15"/>
  <cols>
    <col width="26" customWidth="1" min="1" max="1"/>
    <col width="110" customWidth="1" min="2" max="2"/>
  </cols>
  <sheetData>
    <row r="1">
      <c r="A1" s="1" t="inlineStr">
        <is>
          <t>Due Diligence Questionnaire - Junior Gold Exploration (early stage to development)</t>
        </is>
      </c>
    </row>
    <row r="2">
      <c r="A2" s="2" t="inlineStr">
        <is>
          <t>V10, 14.09.2026. Christopher Schmidt. Work in progress.</t>
        </is>
      </c>
    </row>
    <row r="3"/>
    <row r="4" ht="71.5" customHeight="1">
      <c r="A4" s="3" t="inlineStr">
        <is>
          <t>Purpose</t>
        </is>
      </c>
      <c r="B4" s="4" t="inlineStr">
        <is>
          <t>A structured checklist that lets a private investor without sector experience run due diligence on a junior gold explorer using public filings, and know which answers are good, which are red flags and which stop the analysis. Every row states what it means, where to find the answer, what unit to record, which project stage it applies to and which answer is favourable. Thresholds are calibrated for gold; copper, lithium and uranium projects need different yardsticks.</t>
        </is>
      </c>
    </row>
    <row r="5"/>
    <row r="6">
      <c r="A6" s="5" t="inlineStr">
        <is>
          <t>How to use</t>
        </is>
      </c>
    </row>
    <row r="7" ht="58" customHeight="1">
      <c r="A7" s="6" t="inlineStr"/>
      <c r="B7" s="4" t="inlineStr">
        <is>
          <t>1. Determine the company's stage on the 'DD Questionnaire' header (cell B8): G = grassroots / target generation (no meaningful drilling yet); D = discovery drilling (holes reported, no resource); R = resource definition (a code-compliant resource exists); S = study or development (PEA or later). Rows tagged with a later stage are greyed out and can be left blank or marked N/A.</t>
        </is>
      </c>
    </row>
    <row r="8" ht="31" customHeight="1">
      <c r="A8" s="6" t="inlineStr"/>
      <c r="B8" s="4" t="inlineStr">
        <is>
          <t>2. Run the 'Quick screen' sheet first (28 questions, public sources only, 60-90 minutes). Any hard stop, or three or more counted reds, ends the analysis; write the result down before reading any geology.</t>
        </is>
      </c>
    </row>
    <row r="9" ht="71.5" customHeight="1">
      <c r="A9" s="6" t="inlineStr"/>
      <c r="B9" s="4" t="inlineStr">
        <is>
          <t>3. Work through the 'DD Questionnaire' sheet. Fill the yellow cells only: Answer, Result (Green / Amber / Red / N/A), Source and date checked, Notes. Tier 1 = quick public-source checks (the Quick screen is a 28-question subset of them for the stage the company has reached); Tier 2 is the core deep dive; Tier 3 is optional or needs an expert. Score one fact in one row only: where a row says another row scores it, leave the result blank here.</t>
        </is>
      </c>
    </row>
    <row r="10" ht="58" customHeight="1">
      <c r="A10" s="6" t="inlineStr"/>
      <c r="B10" s="4" t="inlineStr">
        <is>
          <t>4. Use the 'Calculators' sheet for every number-bearing rule (GT, true width, size of the prize, strip ratio, cut-off, runway and cost of the test, spending ratios, overhang and EV, attributable interest, expected value, average GT and in-situ value, rig throughput). Enter inputs in the yellow cells with blue text; black cells are formulas.</t>
        </is>
      </c>
    </row>
    <row r="11" ht="31" customHeight="1">
      <c r="A11" s="6" t="inlineStr"/>
      <c r="B11" s="4" t="inlineStr">
        <is>
          <t>5. Read the 'Summary' sheet: hard stops triggered, red flags counted, results by section, and the stop rule (mirrored in the main sheet header).</t>
        </is>
      </c>
    </row>
    <row r="12" ht="58" customHeight="1">
      <c r="A12" s="6" t="inlineStr"/>
      <c r="B12" s="4" t="inlineStr">
        <is>
          <t>6. Act on the answers, not on the story: enter after a financing has closed or a hold period has expired, never in the week before a financing or after a hype release; re-run the Quick screen when a hard-stop row changes; treat a fourth campaign without a new idea (D-12) or an unfunded programme (F-07) as exit triggers, and a resource with limited verified upside (R-12) as a downgrade trigger, written down in advance.</t>
        </is>
      </c>
    </row>
    <row r="13"/>
    <row r="14">
      <c r="A14" s="5" t="inlineStr">
        <is>
          <t>Legend</t>
        </is>
      </c>
    </row>
    <row r="15" ht="31" customHeight="1">
      <c r="A15" s="3" t="inlineStr">
        <is>
          <t>Polarity column</t>
        </is>
      </c>
      <c r="B15" s="4" t="inlineStr">
        <is>
          <t>States which answer is favourable for that row: 'Y = good', 'Y = red flag', 'Higher is better', 'Lower is better', or 'Info' for descriptive rows.</t>
        </is>
      </c>
    </row>
    <row r="16" ht="31" customHeight="1">
      <c r="A16" s="3" t="inlineStr">
        <is>
          <t>KO column</t>
        </is>
      </c>
      <c r="B16" s="4" t="inlineStr">
        <is>
          <t>H = hard stop (a Red result ends the analysis). R = red flag (count them; three or more Reds end the analysis). Blank = informational or amber-only.</t>
        </is>
      </c>
    </row>
    <row r="17" ht="44.5" customHeight="1">
      <c r="A17" s="3" t="inlineStr">
        <is>
          <t>Stage column</t>
        </is>
      </c>
      <c r="B17" s="4" t="inlineStr">
        <is>
          <t>All = corporate rows independent of the project (answerable at every stage); G = project rows answerable from grassroots stage onward; D, R, S as defined in step 1. A row applies from that stage onward. In the workbook 'All' and 'G' both apply at every stage.</t>
        </is>
      </c>
    </row>
    <row r="18" ht="31" customHeight="1">
      <c r="A18" s="3" t="inlineStr">
        <is>
          <t>Tier column</t>
        </is>
      </c>
      <c r="B18" s="4" t="inlineStr">
        <is>
          <t>1 = quick public-source check (minutes; the Quick screen draws on these); 2 = core deep dive; 3 = optional or expert judgement.</t>
        </is>
      </c>
    </row>
    <row r="19" ht="31" customHeight="1">
      <c r="A19" s="3" t="inlineStr">
        <is>
          <t>Result column</t>
        </is>
      </c>
      <c r="B19" s="4" t="inlineStr">
        <is>
          <t>Green = passes the rule in the guidance; Amber = borderline or partially answered; Red = fails; N/A = does not apply at this stage.</t>
        </is>
      </c>
    </row>
    <row r="20" ht="44.5" customHeight="1">
      <c r="A20" s="3" t="inlineStr">
        <is>
          <t>Cells to fill</t>
        </is>
      </c>
      <c r="B20" s="4" t="inlineStr">
        <is>
          <t>Only the yellow cells are inputs: on 'DD Questionnaire' the header block (B5:B11), the price deck (E5:E12) and columns K to N of the table; on 'Quick screen' columns F and G; on 'Calculators' the yellow cells with blue text. Everything else is text or formula; the 'Summary' sheet is formulas only.</t>
        </is>
      </c>
    </row>
    <row r="21"/>
    <row r="22">
      <c r="A22" s="5" t="inlineStr">
        <is>
          <t>Currency and price deck</t>
        </is>
      </c>
    </row>
    <row r="23" ht="71.5" customHeight="1">
      <c r="A23" s="6" t="inlineStr"/>
      <c r="B23" s="4" t="inlineStr">
        <is>
          <t>All $ figures are US$ unless marked C$ (Canadian) or A$ (Australian); state the currency you convert to in cell B11 of the main sheet and the FX rate on the day. Price-linked thresholds state their price basis in the guidance; rows R-04, R-05, MP-10, X-01, X-03 and X-04 and the Calculators refer directly to the price deck in cells E5:E12 of the main sheet (E12 is the base-case majors' reserve price); update the deck and its 'last checked' date at least once a year.</t>
        </is>
      </c>
    </row>
    <row r="24" ht="58" customHeight="1">
      <c r="A24" s="6" t="inlineStr"/>
      <c r="B24" s="4" t="inlineStr">
        <is>
          <t>Gold calibration: the GT ladder, intercept lengths, cut-off floors, strip-ratio screen, AISC and capital-intensity limits and the size-of-prize ladder are derived from gold deposits. For copper, lithium, uranium or base-metal projects use the corporate, jurisdiction, tenure and data-integrity sections as they are, and take the technical thresholds from a specialist.</t>
        </is>
      </c>
    </row>
    <row r="25" ht="44.5" customHeight="1">
      <c r="A25" s="6" t="inlineStr"/>
      <c r="B25" s="4" t="inlineStr">
        <is>
          <t>How to act on the answers: this questionnaire ranks companies; it does not size positions. The author's own rules of thumb are marked as such; where a rule says 'stop', 'exit' or 'wait' it describes the author's discipline, not an instruction.</t>
        </is>
      </c>
    </row>
    <row r="26"/>
    <row r="27">
      <c r="A27" s="5" t="inlineStr">
        <is>
          <t>Example of completed rows</t>
        </is>
      </c>
    </row>
    <row r="28">
      <c r="A28" s="7" t="inlineStr">
        <is>
          <t>ID</t>
        </is>
      </c>
      <c r="B28" s="7" t="inlineStr">
        <is>
          <t>Criterion  |  Answer  |  Result  |  Source and date checked  |  Notes</t>
        </is>
      </c>
    </row>
    <row r="29" ht="30" customHeight="1">
      <c r="A29" s="6" t="inlineStr">
        <is>
          <t>P-06</t>
        </is>
      </c>
      <c r="B29" s="4" t="inlineStr">
        <is>
          <t>Insider ownership (basic shares)  |  18%  |  Green  |  MIC filed 2026-05-12, p. 9; SEDI 2026-09-01  |  CEO 9%, VP Ex 2%, directors 7%; 60% bought in placements</t>
        </is>
      </c>
    </row>
    <row r="30" ht="30" customHeight="1">
      <c r="A30" s="6" t="inlineStr">
        <is>
          <t>K-08</t>
        </is>
      </c>
      <c r="B30" s="4" t="inlineStr">
        <is>
          <t>Warrant and option overhang  |  47%  |  Red  |  MD&amp;A Q2 2026, Outstanding share data  |  31m warrants at C$0.25 expire 2027-03; all in the money at C$0.31</t>
        </is>
      </c>
    </row>
    <row r="31" ht="30" customHeight="1">
      <c r="A31" s="6" t="inlineStr">
        <is>
          <t>F-07</t>
        </is>
      </c>
      <c r="B31" s="4" t="inlineStr">
        <is>
          <t>Current programme fully funded?  |  N  |  Red  |  Programme NR 2026-08-20 (C$4.2m budget); MD&amp;A Q2 cash C$2.1m  |  Hard stop: wait for the financing to close</t>
        </is>
      </c>
    </row>
    <row r="32"/>
    <row r="33">
      <c r="A33" s="5" t="inlineStr">
        <is>
          <t>Disclaimer</t>
        </is>
      </c>
    </row>
    <row r="34" ht="166" customHeight="1">
      <c r="A34" s="6" t="inlineStr"/>
      <c r="B34" s="4" t="inlineStr">
        <is>
          <t>This questionnaire is a personal, non-exhaustive checklist that reflects the author's own opinions and rules of thumb as of the version date. It is general information and education only: it is not investment advice, not a personal recommendation and not an offer or solicitation, and it does not take your financial situation, objectives or risk tolerance into account. Terms such as 'hard stop', 'red flag', 'stop', 'exit' or 'wait' describe the author's own discipline, not instructions to you. Shares of junior exploration companies are high-risk and can lose all of their value. The author may hold positions in companies in this sector. No company, group, person or publication named in this questionnaire is a recommendation; names appear only as examples of ownership structures, funding models or data sources, may be out of date, and their naming says nothing about whether the author holds a position. Thresholds are stated in US$ at the prices shown in the price deck and may be outdated; verify every figure against the primary filing before you rely on it, whether you found it yourself or through an AI tool. To the extent permitted by law, the author accepts no liability for losses arising from the use of this questionnaire or from decisions based on it.</t>
        </is>
      </c>
    </row>
    <row r="35"/>
    <row r="36">
      <c r="A36" s="5" t="inlineStr">
        <is>
          <t>Sources and attribution</t>
        </is>
      </c>
    </row>
    <row r="37" ht="71.5" customHeight="1">
      <c r="A37" s="6" t="inlineStr"/>
      <c r="B37" s="4" t="inlineStr">
        <is>
          <t>Copyright © 2024-2026 Christopher Schmidt. All rights reserved. The questionnaire, its rules of thumb, thresholds and calculators are the author's own work, based on his professional experience. You may use it, and print or export your own results, for private, non-commercial purposes. Any other reproduction, redistribution, translation, hosting on another site or commercial use (including use in paid newsletters, courses or advisory services) requires the author's prior written permission. Third-party names and marks belong to their owners.</t>
        </is>
      </c>
    </row>
    <row r="38" ht="44.5" customHeight="1">
      <c r="A38" s="6" t="inlineStr"/>
      <c r="B38" s="4" t="inlineStr">
        <is>
          <t>All thresholds and rules of thumb (including the grade-times-thickness discovery-hole ladder, the campaign rule and the size-of-prize method) are the author's own calibration from his review of gold discoveries and projects; they are opinions, not published statistics.</t>
        </is>
      </c>
    </row>
    <row r="39" ht="58" customHeight="1">
      <c r="A39" s="6" t="inlineStr"/>
      <c r="B39" s="4" t="inlineStr">
        <is>
          <t>Reference values in the price deck are the author's rounded reading of public reserve- and resource-price statements by Barrick Mining and Newmont and of World Gold Council cost data, as of the date shown; they are not figures published or endorsed by those organisations. Industry drilling statistics follow MinEx Consulting and jurisdiction rankings the Fraser Institute survey. Verify all reference values on the date of use.</t>
        </is>
      </c>
    </row>
    <row r="40" ht="31" customHeight="1">
      <c r="A40" s="6" t="inlineStr"/>
      <c r="B40" s="4" t="inlineStr">
        <is>
          <t>Nothing in this questionnaire is reproduced from third-party publications. External reading listed under 'Reference names' is linked only and belongs to its respective authors.</t>
        </is>
      </c>
    </row>
    <row r="41"/>
    <row r="42" ht="17.5" customHeight="1">
      <c r="A42" s="3" t="inlineStr">
        <is>
          <t>Version history</t>
        </is>
      </c>
      <c r="B42" s="4" t="inlineStr">
        <is>
          <t>See the 'Changelog' sheet; 'V9 to V10 map' shows where each V9 row went.</t>
        </is>
      </c>
    </row>
  </sheetData>
  <pageMargins left="0.75" right="0.75" top="1" bottom="1" header="0.5" footer="0.5"/>
</worksheet>
</file>

<file path=xl/worksheets/sheet2.xml><?xml version="1.0" encoding="utf-8"?>
<worksheet xmlns="http://schemas.openxmlformats.org/spreadsheetml/2006/main">
  <sheetPr>
    <tabColor rgb="001F4E5A"/>
    <outlinePr summaryBelow="1" summaryRight="1"/>
    <pageSetUpPr/>
  </sheetPr>
  <dimension ref="A1:G25"/>
  <sheetViews>
    <sheetView showGridLines="0" workbookViewId="0">
      <selection activeCell="A1" sqref="A1"/>
    </sheetView>
  </sheetViews>
  <sheetFormatPr baseColWidth="8" defaultRowHeight="15"/>
  <cols>
    <col width="30" customWidth="1" min="1" max="1"/>
    <col width="40" customWidth="1" min="2" max="2"/>
    <col width="10" customWidth="1" min="3" max="3"/>
    <col width="10" customWidth="1" min="4" max="4"/>
    <col width="10" customWidth="1" min="5" max="5"/>
    <col width="10" customWidth="1" min="6" max="6"/>
    <col width="12" customWidth="1" min="7" max="7"/>
  </cols>
  <sheetData>
    <row r="1">
      <c r="A1" s="5" t="inlineStr">
        <is>
          <t>Summary and stop rule (formulas; nothing to fill in)</t>
        </is>
      </c>
    </row>
    <row r="2">
      <c r="A2" s="3" t="inlineStr">
        <is>
          <t>Hard stops triggered</t>
        </is>
      </c>
      <c r="B2" s="3">
        <f>COUNTIFS('DD Questionnaire'!$J$15:$J$229,"H",'DD Questionnaire'!$L$15:$L$229,"Red")</f>
        <v/>
      </c>
    </row>
    <row r="3">
      <c r="A3" s="3" t="inlineStr">
        <is>
          <t>Red flags counted (rows with KO = R and Result = Red)</t>
        </is>
      </c>
      <c r="B3" s="3">
        <f>COUNTIFS('DD Questionnaire'!$J$15:$J$229,"R",'DD Questionnaire'!$L$15:$L$229,"Red")</f>
        <v/>
      </c>
    </row>
    <row r="4">
      <c r="A4" s="3" t="inlineStr">
        <is>
          <t>Stop rule</t>
        </is>
      </c>
      <c r="B4" s="3">
        <f>IF(B2&gt;0,"STOP: hard stop triggered",IF(B3&gt;=3,"STOP: three or more red flags",IF(COUNTIF('DD Questionnaire'!$L$15:$L$229,"?*")=0,"Not started","Proceed")))</f>
        <v/>
      </c>
    </row>
    <row r="5">
      <c r="A5" s="3" t="inlineStr">
        <is>
          <t>Quick screen verdict</t>
        </is>
      </c>
      <c r="B5" s="3">
        <f>'Quick screen'!$E$4</f>
        <v/>
      </c>
    </row>
    <row r="6">
      <c r="A6" s="3" t="inlineStr">
        <is>
          <t>Rows answered / rows applicable at the chosen stage</t>
        </is>
      </c>
      <c r="B6" s="3">
        <f>COUNTIF('DD Questionnaire'!$L$15:$L$229,"?*")&amp;" / "&amp;IF('DD Questionnaire'!$B$12="","(set the stage in B8)",COUNTIF('DD Questionnaire'!$P$15:$P$229,"yes"))</f>
        <v/>
      </c>
    </row>
    <row r="7"/>
    <row r="8">
      <c r="A8" s="8" t="inlineStr">
        <is>
          <t>Section</t>
        </is>
      </c>
      <c r="B8" s="8" t="inlineStr">
        <is>
          <t>Title</t>
        </is>
      </c>
      <c r="C8" s="8" t="inlineStr">
        <is>
          <t>Green</t>
        </is>
      </c>
      <c r="D8" s="8" t="inlineStr">
        <is>
          <t>Amber</t>
        </is>
      </c>
      <c r="E8" s="8" t="inlineStr">
        <is>
          <t>Red</t>
        </is>
      </c>
      <c r="F8" s="8" t="inlineStr">
        <is>
          <t>N/A</t>
        </is>
      </c>
      <c r="G8" s="8" t="inlineStr">
        <is>
          <t>Answered</t>
        </is>
      </c>
    </row>
    <row r="9">
      <c r="A9" s="3" t="inlineStr">
        <is>
          <t>C</t>
        </is>
      </c>
      <c r="B9" s="6" t="inlineStr">
        <is>
          <t>CORPORATE HYGIENE &amp; LISTING</t>
        </is>
      </c>
      <c r="C9" s="6">
        <f>COUNTIFS('DD Questionnaire'!$B$15:$B$229,"C",'DD Questionnaire'!$L$15:$L$229,"Green")</f>
        <v/>
      </c>
      <c r="D9" s="6">
        <f>COUNTIFS('DD Questionnaire'!$B$15:$B$229,"C",'DD Questionnaire'!$L$15:$L$229,"Amber")</f>
        <v/>
      </c>
      <c r="E9" s="6">
        <f>COUNTIFS('DD Questionnaire'!$B$15:$B$229,"C",'DD Questionnaire'!$L$15:$L$229,"Red")</f>
        <v/>
      </c>
      <c r="F9" s="6">
        <f>COUNTIFS('DD Questionnaire'!$B$15:$B$229,"C",'DD Questionnaire'!$L$15:$L$229,"N/A")</f>
        <v/>
      </c>
      <c r="G9" s="6">
        <f>COUNTIFS('DD Questionnaire'!$B$15:$B$229,"C",'DD Questionnaire'!$L$15:$L$229,"?*")</f>
        <v/>
      </c>
    </row>
    <row r="10">
      <c r="A10" s="3" t="inlineStr">
        <is>
          <t>P</t>
        </is>
      </c>
      <c r="B10" s="6" t="inlineStr">
        <is>
          <t>PEOPLE &amp; ALIGNMENT</t>
        </is>
      </c>
      <c r="C10" s="6">
        <f>COUNTIFS('DD Questionnaire'!$B$15:$B$229,"P",'DD Questionnaire'!$L$15:$L$229,"Green")</f>
        <v/>
      </c>
      <c r="D10" s="6">
        <f>COUNTIFS('DD Questionnaire'!$B$15:$B$229,"P",'DD Questionnaire'!$L$15:$L$229,"Amber")</f>
        <v/>
      </c>
      <c r="E10" s="6">
        <f>COUNTIFS('DD Questionnaire'!$B$15:$B$229,"P",'DD Questionnaire'!$L$15:$L$229,"Red")</f>
        <v/>
      </c>
      <c r="F10" s="6">
        <f>COUNTIFS('DD Questionnaire'!$B$15:$B$229,"P",'DD Questionnaire'!$L$15:$L$229,"N/A")</f>
        <v/>
      </c>
      <c r="G10" s="6">
        <f>COUNTIFS('DD Questionnaire'!$B$15:$B$229,"P",'DD Questionnaire'!$L$15:$L$229,"?*")</f>
        <v/>
      </c>
    </row>
    <row r="11">
      <c r="A11" s="3" t="inlineStr">
        <is>
          <t>K</t>
        </is>
      </c>
      <c r="B11" s="6" t="inlineStr">
        <is>
          <t>CAPITAL STRUCTURE, FINANCING &amp; LIQUIDITY</t>
        </is>
      </c>
      <c r="C11" s="6">
        <f>COUNTIFS('DD Questionnaire'!$B$15:$B$229,"K",'DD Questionnaire'!$L$15:$L$229,"Green")</f>
        <v/>
      </c>
      <c r="D11" s="6">
        <f>COUNTIFS('DD Questionnaire'!$B$15:$B$229,"K",'DD Questionnaire'!$L$15:$L$229,"Amber")</f>
        <v/>
      </c>
      <c r="E11" s="6">
        <f>COUNTIFS('DD Questionnaire'!$B$15:$B$229,"K",'DD Questionnaire'!$L$15:$L$229,"Red")</f>
        <v/>
      </c>
      <c r="F11" s="6">
        <f>COUNTIFS('DD Questionnaire'!$B$15:$B$229,"K",'DD Questionnaire'!$L$15:$L$229,"N/A")</f>
        <v/>
      </c>
      <c r="G11" s="6">
        <f>COUNTIFS('DD Questionnaire'!$B$15:$B$229,"K",'DD Questionnaire'!$L$15:$L$229,"?*")</f>
        <v/>
      </c>
    </row>
    <row r="12">
      <c r="A12" s="3" t="inlineStr">
        <is>
          <t>F</t>
        </is>
      </c>
      <c r="B12" s="6" t="inlineStr">
        <is>
          <t>FINANCIAL POSITION &amp; SPENDING DISCIPLINE</t>
        </is>
      </c>
      <c r="C12" s="6">
        <f>COUNTIFS('DD Questionnaire'!$B$15:$B$229,"F",'DD Questionnaire'!$L$15:$L$229,"Green")</f>
        <v/>
      </c>
      <c r="D12" s="6">
        <f>COUNTIFS('DD Questionnaire'!$B$15:$B$229,"F",'DD Questionnaire'!$L$15:$L$229,"Amber")</f>
        <v/>
      </c>
      <c r="E12" s="6">
        <f>COUNTIFS('DD Questionnaire'!$B$15:$B$229,"F",'DD Questionnaire'!$L$15:$L$229,"Red")</f>
        <v/>
      </c>
      <c r="F12" s="6">
        <f>COUNTIFS('DD Questionnaire'!$B$15:$B$229,"F",'DD Questionnaire'!$L$15:$L$229,"N/A")</f>
        <v/>
      </c>
      <c r="G12" s="6">
        <f>COUNTIFS('DD Questionnaire'!$B$15:$B$229,"F",'DD Questionnaire'!$L$15:$L$229,"?*")</f>
        <v/>
      </c>
    </row>
    <row r="13">
      <c r="A13" s="3" t="inlineStr">
        <is>
          <t>A</t>
        </is>
      </c>
      <c r="B13" s="6" t="inlineStr">
        <is>
          <t>ASSET OWNERSHIP, ROYALTIES &amp; AGREEMENTS</t>
        </is>
      </c>
      <c r="C13" s="6">
        <f>COUNTIFS('DD Questionnaire'!$B$15:$B$229,"A",'DD Questionnaire'!$L$15:$L$229,"Green")</f>
        <v/>
      </c>
      <c r="D13" s="6">
        <f>COUNTIFS('DD Questionnaire'!$B$15:$B$229,"A",'DD Questionnaire'!$L$15:$L$229,"Amber")</f>
        <v/>
      </c>
      <c r="E13" s="6">
        <f>COUNTIFS('DD Questionnaire'!$B$15:$B$229,"A",'DD Questionnaire'!$L$15:$L$229,"Red")</f>
        <v/>
      </c>
      <c r="F13" s="6">
        <f>COUNTIFS('DD Questionnaire'!$B$15:$B$229,"A",'DD Questionnaire'!$L$15:$L$229,"N/A")</f>
        <v/>
      </c>
      <c r="G13" s="6">
        <f>COUNTIFS('DD Questionnaire'!$B$15:$B$229,"A",'DD Questionnaire'!$L$15:$L$229,"?*")</f>
        <v/>
      </c>
    </row>
    <row r="14">
      <c r="A14" s="3" t="inlineStr">
        <is>
          <t>M</t>
        </is>
      </c>
      <c r="B14" s="6" t="inlineStr">
        <is>
          <t>PROMOTION, COVERAGE &amp; DISCLOSURE QUALITY</t>
        </is>
      </c>
      <c r="C14" s="6">
        <f>COUNTIFS('DD Questionnaire'!$B$15:$B$229,"M",'DD Questionnaire'!$L$15:$L$229,"Green")</f>
        <v/>
      </c>
      <c r="D14" s="6">
        <f>COUNTIFS('DD Questionnaire'!$B$15:$B$229,"M",'DD Questionnaire'!$L$15:$L$229,"Amber")</f>
        <v/>
      </c>
      <c r="E14" s="6">
        <f>COUNTIFS('DD Questionnaire'!$B$15:$B$229,"M",'DD Questionnaire'!$L$15:$L$229,"Red")</f>
        <v/>
      </c>
      <c r="F14" s="6">
        <f>COUNTIFS('DD Questionnaire'!$B$15:$B$229,"M",'DD Questionnaire'!$L$15:$L$229,"N/A")</f>
        <v/>
      </c>
      <c r="G14" s="6">
        <f>COUNTIFS('DD Questionnaire'!$B$15:$B$229,"M",'DD Questionnaire'!$L$15:$L$229,"?*")</f>
        <v/>
      </c>
    </row>
    <row r="15">
      <c r="A15" s="3" t="inlineStr">
        <is>
          <t>J</t>
        </is>
      </c>
      <c r="B15" s="6" t="inlineStr">
        <is>
          <t>JURISDICTION &amp; FISCAL TAKE</t>
        </is>
      </c>
      <c r="C15" s="6">
        <f>COUNTIFS('DD Questionnaire'!$B$15:$B$229,"J",'DD Questionnaire'!$L$15:$L$229,"Green")</f>
        <v/>
      </c>
      <c r="D15" s="6">
        <f>COUNTIFS('DD Questionnaire'!$B$15:$B$229,"J",'DD Questionnaire'!$L$15:$L$229,"Amber")</f>
        <v/>
      </c>
      <c r="E15" s="6">
        <f>COUNTIFS('DD Questionnaire'!$B$15:$B$229,"J",'DD Questionnaire'!$L$15:$L$229,"Red")</f>
        <v/>
      </c>
      <c r="F15" s="6">
        <f>COUNTIFS('DD Questionnaire'!$B$15:$B$229,"J",'DD Questionnaire'!$L$15:$L$229,"N/A")</f>
        <v/>
      </c>
      <c r="G15" s="6">
        <f>COUNTIFS('DD Questionnaire'!$B$15:$B$229,"J",'DD Questionnaire'!$L$15:$L$229,"?*")</f>
        <v/>
      </c>
    </row>
    <row r="16">
      <c r="A16" s="3" t="inlineStr">
        <is>
          <t>S</t>
        </is>
      </c>
      <c r="B16" s="6" t="inlineStr">
        <is>
          <t>PROJECT SETTING &amp; ACCESS</t>
        </is>
      </c>
      <c r="C16" s="6">
        <f>COUNTIFS('DD Questionnaire'!$B$15:$B$229,"S",'DD Questionnaire'!$L$15:$L$229,"Green")</f>
        <v/>
      </c>
      <c r="D16" s="6">
        <f>COUNTIFS('DD Questionnaire'!$B$15:$B$229,"S",'DD Questionnaire'!$L$15:$L$229,"Amber")</f>
        <v/>
      </c>
      <c r="E16" s="6">
        <f>COUNTIFS('DD Questionnaire'!$B$15:$B$229,"S",'DD Questionnaire'!$L$15:$L$229,"Red")</f>
        <v/>
      </c>
      <c r="F16" s="6">
        <f>COUNTIFS('DD Questionnaire'!$B$15:$B$229,"S",'DD Questionnaire'!$L$15:$L$229,"N/A")</f>
        <v/>
      </c>
      <c r="G16" s="6">
        <f>COUNTIFS('DD Questionnaire'!$B$15:$B$229,"S",'DD Questionnaire'!$L$15:$L$229,"?*")</f>
        <v/>
      </c>
    </row>
    <row r="17">
      <c r="A17" s="3" t="inlineStr">
        <is>
          <t>T</t>
        </is>
      </c>
      <c r="B17" s="6" t="inlineStr">
        <is>
          <t>TENURE, PERMITTING, COMMUNITY &amp; ENVIRONMENT</t>
        </is>
      </c>
      <c r="C17" s="6">
        <f>COUNTIFS('DD Questionnaire'!$B$15:$B$229,"T",'DD Questionnaire'!$L$15:$L$229,"Green")</f>
        <v/>
      </c>
      <c r="D17" s="6">
        <f>COUNTIFS('DD Questionnaire'!$B$15:$B$229,"T",'DD Questionnaire'!$L$15:$L$229,"Amber")</f>
        <v/>
      </c>
      <c r="E17" s="6">
        <f>COUNTIFS('DD Questionnaire'!$B$15:$B$229,"T",'DD Questionnaire'!$L$15:$L$229,"Red")</f>
        <v/>
      </c>
      <c r="F17" s="6">
        <f>COUNTIFS('DD Questionnaire'!$B$15:$B$229,"T",'DD Questionnaire'!$L$15:$L$229,"N/A")</f>
        <v/>
      </c>
      <c r="G17" s="6">
        <f>COUNTIFS('DD Questionnaire'!$B$15:$B$229,"T",'DD Questionnaire'!$L$15:$L$229,"?*")</f>
        <v/>
      </c>
    </row>
    <row r="18">
      <c r="A18" s="3" t="inlineStr">
        <is>
          <t>G</t>
        </is>
      </c>
      <c r="B18" s="6" t="inlineStr">
        <is>
          <t>GEOLOGY, TARGETING &amp; DATA INTEGRITY</t>
        </is>
      </c>
      <c r="C18" s="6">
        <f>COUNTIFS('DD Questionnaire'!$B$15:$B$229,"G",'DD Questionnaire'!$L$15:$L$229,"Green")</f>
        <v/>
      </c>
      <c r="D18" s="6">
        <f>COUNTIFS('DD Questionnaire'!$B$15:$B$229,"G",'DD Questionnaire'!$L$15:$L$229,"Amber")</f>
        <v/>
      </c>
      <c r="E18" s="6">
        <f>COUNTIFS('DD Questionnaire'!$B$15:$B$229,"G",'DD Questionnaire'!$L$15:$L$229,"Red")</f>
        <v/>
      </c>
      <c r="F18" s="6">
        <f>COUNTIFS('DD Questionnaire'!$B$15:$B$229,"G",'DD Questionnaire'!$L$15:$L$229,"N/A")</f>
        <v/>
      </c>
      <c r="G18" s="6">
        <f>COUNTIFS('DD Questionnaire'!$B$15:$B$229,"G",'DD Questionnaire'!$L$15:$L$229,"?*")</f>
        <v/>
      </c>
    </row>
    <row r="19">
      <c r="A19" s="3" t="inlineStr">
        <is>
          <t>D</t>
        </is>
      </c>
      <c r="B19" s="6" t="inlineStr">
        <is>
          <t>DRILL RESULTS &amp; DISCOVERY METRICS</t>
        </is>
      </c>
      <c r="C19" s="6">
        <f>COUNTIFS('DD Questionnaire'!$B$15:$B$229,"D",'DD Questionnaire'!$L$15:$L$229,"Green")</f>
        <v/>
      </c>
      <c r="D19" s="6">
        <f>COUNTIFS('DD Questionnaire'!$B$15:$B$229,"D",'DD Questionnaire'!$L$15:$L$229,"Amber")</f>
        <v/>
      </c>
      <c r="E19" s="6">
        <f>COUNTIFS('DD Questionnaire'!$B$15:$B$229,"D",'DD Questionnaire'!$L$15:$L$229,"Red")</f>
        <v/>
      </c>
      <c r="F19" s="6">
        <f>COUNTIFS('DD Questionnaire'!$B$15:$B$229,"D",'DD Questionnaire'!$L$15:$L$229,"N/A")</f>
        <v/>
      </c>
      <c r="G19" s="6">
        <f>COUNTIFS('DD Questionnaire'!$B$15:$B$229,"D",'DD Questionnaire'!$L$15:$L$229,"?*")</f>
        <v/>
      </c>
    </row>
    <row r="20">
      <c r="A20" s="3" t="inlineStr">
        <is>
          <t>E</t>
        </is>
      </c>
      <c r="B20" s="6" t="inlineStr">
        <is>
          <t>CURRENT PROGRAMME &amp; FUNDING</t>
        </is>
      </c>
      <c r="C20" s="6">
        <f>COUNTIFS('DD Questionnaire'!$B$15:$B$229,"E",'DD Questionnaire'!$L$15:$L$229,"Green")</f>
        <v/>
      </c>
      <c r="D20" s="6">
        <f>COUNTIFS('DD Questionnaire'!$B$15:$B$229,"E",'DD Questionnaire'!$L$15:$L$229,"Amber")</f>
        <v/>
      </c>
      <c r="E20" s="6">
        <f>COUNTIFS('DD Questionnaire'!$B$15:$B$229,"E",'DD Questionnaire'!$L$15:$L$229,"Red")</f>
        <v/>
      </c>
      <c r="F20" s="6">
        <f>COUNTIFS('DD Questionnaire'!$B$15:$B$229,"E",'DD Questionnaire'!$L$15:$L$229,"N/A")</f>
        <v/>
      </c>
      <c r="G20" s="6">
        <f>COUNTIFS('DD Questionnaire'!$B$15:$B$229,"E",'DD Questionnaire'!$L$15:$L$229,"?*")</f>
        <v/>
      </c>
    </row>
    <row r="21">
      <c r="A21" s="3" t="inlineStr">
        <is>
          <t>R</t>
        </is>
      </c>
      <c r="B21" s="6" t="inlineStr">
        <is>
          <t>MINERAL RESOURCE ESTIMATE</t>
        </is>
      </c>
      <c r="C21" s="6">
        <f>COUNTIFS('DD Questionnaire'!$B$15:$B$229,"R",'DD Questionnaire'!$L$15:$L$229,"Green")</f>
        <v/>
      </c>
      <c r="D21" s="6">
        <f>COUNTIFS('DD Questionnaire'!$B$15:$B$229,"R",'DD Questionnaire'!$L$15:$L$229,"Amber")</f>
        <v/>
      </c>
      <c r="E21" s="6">
        <f>COUNTIFS('DD Questionnaire'!$B$15:$B$229,"R",'DD Questionnaire'!$L$15:$L$229,"Red")</f>
        <v/>
      </c>
      <c r="F21" s="6">
        <f>COUNTIFS('DD Questionnaire'!$B$15:$B$229,"R",'DD Questionnaire'!$L$15:$L$229,"N/A")</f>
        <v/>
      </c>
      <c r="G21" s="6">
        <f>COUNTIFS('DD Questionnaire'!$B$15:$B$229,"R",'DD Questionnaire'!$L$15:$L$229,"?*")</f>
        <v/>
      </c>
    </row>
    <row r="22">
      <c r="A22" s="3" t="inlineStr">
        <is>
          <t>MP</t>
        </is>
      </c>
      <c r="B22" s="6" t="inlineStr">
        <is>
          <t>MINING &amp; PROCESSING</t>
        </is>
      </c>
      <c r="C22" s="6">
        <f>COUNTIFS('DD Questionnaire'!$B$15:$B$229,"MP",'DD Questionnaire'!$L$15:$L$229,"Green")</f>
        <v/>
      </c>
      <c r="D22" s="6">
        <f>COUNTIFS('DD Questionnaire'!$B$15:$B$229,"MP",'DD Questionnaire'!$L$15:$L$229,"Amber")</f>
        <v/>
      </c>
      <c r="E22" s="6">
        <f>COUNTIFS('DD Questionnaire'!$B$15:$B$229,"MP",'DD Questionnaire'!$L$15:$L$229,"Red")</f>
        <v/>
      </c>
      <c r="F22" s="6">
        <f>COUNTIFS('DD Questionnaire'!$B$15:$B$229,"MP",'DD Questionnaire'!$L$15:$L$229,"N/A")</f>
        <v/>
      </c>
      <c r="G22" s="6">
        <f>COUNTIFS('DD Questionnaire'!$B$15:$B$229,"MP",'DD Questionnaire'!$L$15:$L$229,"?*")</f>
        <v/>
      </c>
    </row>
    <row r="23">
      <c r="A23" s="3" t="inlineStr">
        <is>
          <t>X</t>
        </is>
      </c>
      <c r="B23" s="6" t="inlineStr">
        <is>
          <t>DEVELOPMENT ECONOMICS &amp; EXIT PATH</t>
        </is>
      </c>
      <c r="C23" s="6">
        <f>COUNTIFS('DD Questionnaire'!$B$15:$B$229,"X",'DD Questionnaire'!$L$15:$L$229,"Green")</f>
        <v/>
      </c>
      <c r="D23" s="6">
        <f>COUNTIFS('DD Questionnaire'!$B$15:$B$229,"X",'DD Questionnaire'!$L$15:$L$229,"Amber")</f>
        <v/>
      </c>
      <c r="E23" s="6">
        <f>COUNTIFS('DD Questionnaire'!$B$15:$B$229,"X",'DD Questionnaire'!$L$15:$L$229,"Red")</f>
        <v/>
      </c>
      <c r="F23" s="6">
        <f>COUNTIFS('DD Questionnaire'!$B$15:$B$229,"X",'DD Questionnaire'!$L$15:$L$229,"N/A")</f>
        <v/>
      </c>
      <c r="G23" s="6">
        <f>COUNTIFS('DD Questionnaire'!$B$15:$B$229,"X",'DD Questionnaire'!$L$15:$L$229,"?*")</f>
        <v/>
      </c>
    </row>
    <row r="24">
      <c r="A24" s="3" t="inlineStr">
        <is>
          <t>V</t>
        </is>
      </c>
      <c r="B24" s="6" t="inlineStr">
        <is>
          <t>INVESTMENT THESIS (EXPECTED VALUE)</t>
        </is>
      </c>
      <c r="C24" s="6">
        <f>COUNTIFS('DD Questionnaire'!$B$15:$B$229,"V",'DD Questionnaire'!$L$15:$L$229,"Green")</f>
        <v/>
      </c>
      <c r="D24" s="6">
        <f>COUNTIFS('DD Questionnaire'!$B$15:$B$229,"V",'DD Questionnaire'!$L$15:$L$229,"Amber")</f>
        <v/>
      </c>
      <c r="E24" s="6">
        <f>COUNTIFS('DD Questionnaire'!$B$15:$B$229,"V",'DD Questionnaire'!$L$15:$L$229,"Red")</f>
        <v/>
      </c>
      <c r="F24" s="6">
        <f>COUNTIFS('DD Questionnaire'!$B$15:$B$229,"V",'DD Questionnaire'!$L$15:$L$229,"N/A")</f>
        <v/>
      </c>
      <c r="G24" s="6">
        <f>COUNTIFS('DD Questionnaire'!$B$15:$B$229,"V",'DD Questionnaire'!$L$15:$L$229,"?*")</f>
        <v/>
      </c>
    </row>
    <row r="25">
      <c r="A25" s="3" t="inlineStr">
        <is>
          <t>Total</t>
        </is>
      </c>
      <c r="C25" s="3">
        <f>SUM(C9:C24)</f>
        <v/>
      </c>
      <c r="D25" s="3">
        <f>SUM(D9:D24)</f>
        <v/>
      </c>
      <c r="E25" s="3">
        <f>SUM(E9:E24)</f>
        <v/>
      </c>
      <c r="F25" s="3">
        <f>SUM(F9:F24)</f>
        <v/>
      </c>
      <c r="G25" s="3">
        <f>SUM(G9:G24)</f>
        <v/>
      </c>
    </row>
  </sheetData>
  <conditionalFormatting sqref="B4">
    <cfRule type="expression" priority="1" dxfId="0">
      <formula>LEFT($B$4,4)="STOP"</formula>
    </cfRule>
  </conditionalFormatting>
  <pageMargins left="0.75" right="0.75" top="1" bottom="1" header="0.5" footer="0.5"/>
</worksheet>
</file>

<file path=xl/worksheets/sheet3.xml><?xml version="1.0" encoding="utf-8"?>
<worksheet xmlns="http://schemas.openxmlformats.org/spreadsheetml/2006/main">
  <sheetPr>
    <tabColor rgb="001F4E5A"/>
    <outlinePr summaryBelow="1" summaryRight="1"/>
    <pageSetUpPr/>
  </sheetPr>
  <dimension ref="A1:P229"/>
  <sheetViews>
    <sheetView zoomScale="90" workbookViewId="0">
      <pane xSplit="3" ySplit="14" topLeftCell="D15" activePane="bottomRight" state="frozen"/>
      <selection pane="topRight"/>
      <selection pane="bottomLeft"/>
      <selection pane="bottomRight" activeCell="A1" sqref="A1"/>
    </sheetView>
  </sheetViews>
  <sheetFormatPr baseColWidth="8" defaultRowHeight="15"/>
  <cols>
    <col width="7" customWidth="1" min="1" max="1"/>
    <col width="6" customWidth="1" min="2" max="2"/>
    <col width="34" customWidth="1" min="3" max="3"/>
    <col width="88" customWidth="1" min="4" max="4"/>
    <col width="42" customWidth="1" min="5" max="5"/>
    <col width="16" customWidth="1" min="6" max="6"/>
    <col width="7" customWidth="1" min="7" max="7"/>
    <col width="5" customWidth="1" min="8" max="8"/>
    <col width="32" customWidth="1" min="9" max="9"/>
    <col width="4" customWidth="1" min="10" max="10"/>
    <col width="18" customWidth="1" min="11" max="11"/>
    <col width="10" customWidth="1" min="12" max="12"/>
    <col width="26" customWidth="1" min="13" max="13"/>
    <col width="26" customWidth="1" min="14" max="14"/>
    <col hidden="1" width="6" customWidth="1" min="15" max="15"/>
    <col width="8" customWidth="1" min="16" max="16"/>
  </cols>
  <sheetData>
    <row r="1">
      <c r="A1" s="1" t="inlineStr">
        <is>
          <t>Due Diligence Questionnaire - Junior Gold Exploration (early stage to development)</t>
        </is>
      </c>
    </row>
    <row r="2">
      <c r="A2" s="2" t="inlineStr">
        <is>
          <t>V10, 14.09.2026. Supporting document for private investors without sector experience. Read the 'Read me' sheet first. Thresholds calibrated for gold. Not investment advice.</t>
        </is>
      </c>
    </row>
    <row r="3">
      <c r="A3" s="2" t="inlineStr">
        <is>
          <t>Yellow cells are inputs. Stage: All / G grassroots / D discovery drilling / R resource / S study (rows above the project stage are greyed). Tier: 1 quick check, 2 core, 3 expert. KO: H hard stop, R red flag. Results and the stop rule are on the 'Summary' sheet.</t>
        </is>
      </c>
    </row>
    <row r="4"/>
    <row r="5">
      <c r="A5" s="3" t="inlineStr">
        <is>
          <t>Company</t>
        </is>
      </c>
      <c r="B5" s="9" t="n"/>
      <c r="C5" s="10" t="n"/>
      <c r="D5" s="3" t="inlineStr">
        <is>
          <t>Price deck (US$/oz), last checked</t>
        </is>
      </c>
      <c r="E5" s="9" t="inlineStr">
        <is>
          <t>14.09.2026</t>
        </is>
      </c>
      <c r="F5" s="2" t="inlineStr">
        <is>
          <t>Update at least yearly; verify every value before use.</t>
        </is>
      </c>
      <c r="H5" s="3" t="inlineStr">
        <is>
          <t>Stop rule (from Summary)</t>
        </is>
      </c>
    </row>
    <row r="6">
      <c r="A6" s="3" t="inlineStr">
        <is>
          <t>Ticker / exchange</t>
        </is>
      </c>
      <c r="B6" s="9" t="n"/>
      <c r="C6" s="10" t="n"/>
      <c r="D6" s="3" t="inlineStr">
        <is>
          <t>Spot gold</t>
        </is>
      </c>
      <c r="E6" s="11" t="n">
        <v>4300</v>
      </c>
      <c r="F6" s="2" t="inlineStr">
        <is>
          <t>Per the review's web check on the date shown; replace with today's price.</t>
        </is>
      </c>
      <c r="H6" s="3">
        <f>Summary!$B$4</f>
        <v/>
      </c>
    </row>
    <row r="7">
      <c r="A7" s="3" t="inlineStr">
        <is>
          <t>Commodity</t>
        </is>
      </c>
      <c r="B7" s="9" t="inlineStr">
        <is>
          <t>Gold</t>
        </is>
      </c>
      <c r="C7" s="10" t="n"/>
      <c r="D7" s="3" t="inlineStr">
        <is>
          <t>Barrick reserve price (YE2025)</t>
        </is>
      </c>
      <c r="E7" s="11" t="n">
        <v>1500</v>
      </c>
      <c r="F7" s="2" t="inlineStr">
        <is>
          <t>Company reserve statement.</t>
        </is>
      </c>
      <c r="H7" s="2" t="inlineStr">
        <is>
          <t>Hard stops triggered</t>
        </is>
      </c>
      <c r="K7" s="2">
        <f>Summary!$B$2</f>
        <v/>
      </c>
    </row>
    <row r="8">
      <c r="A8" s="3" t="inlineStr">
        <is>
          <t>Project stage (G/D/R/S)</t>
        </is>
      </c>
      <c r="B8" s="9" t="inlineStr">
        <is>
          <t>D</t>
        </is>
      </c>
      <c r="C8" s="10" t="n"/>
      <c r="D8" s="3" t="inlineStr">
        <is>
          <t>Barrick resource price (YE2025)</t>
        </is>
      </c>
      <c r="E8" s="11" t="n">
        <v>2000</v>
      </c>
      <c r="F8" s="2" t="inlineStr">
        <is>
          <t>Company resource statement; the 'majors' resource price' used in R-04 and R-05.</t>
        </is>
      </c>
      <c r="H8" s="2" t="inlineStr">
        <is>
          <t>Red flags counted</t>
        </is>
      </c>
      <c r="K8" s="2">
        <f>Summary!$B$3</f>
        <v/>
      </c>
    </row>
    <row r="9">
      <c r="A9" s="3" t="inlineStr">
        <is>
          <t>Review date</t>
        </is>
      </c>
      <c r="B9" s="9" t="n"/>
      <c r="C9" s="10" t="n"/>
      <c r="D9" s="3" t="inlineStr">
        <is>
          <t>Newmont reserve price (YE2025)</t>
        </is>
      </c>
      <c r="E9" s="11" t="n">
        <v>2000</v>
      </c>
      <c r="F9" s="2" t="inlineStr">
        <is>
          <t>Company reserve statement.</t>
        </is>
      </c>
    </row>
    <row r="10">
      <c r="A10" s="3" t="inlineStr">
        <is>
          <t>Reviewer</t>
        </is>
      </c>
      <c r="B10" s="9" t="n"/>
      <c r="C10" s="10" t="n"/>
      <c r="D10" s="3" t="inlineStr">
        <is>
          <t>3-year trailing average gold price</t>
        </is>
      </c>
      <c r="E10" s="11" t="n">
        <v>3000</v>
      </c>
      <c r="F10" s="2" t="inlineStr">
        <is>
          <t>Approximate at the check date; recompute from monthly averages.</t>
        </is>
      </c>
    </row>
    <row r="11">
      <c r="A11" s="3" t="inlineStr">
        <is>
          <t>Currency used for $ figures</t>
        </is>
      </c>
      <c r="B11" s="9" t="inlineStr">
        <is>
          <t>US$</t>
        </is>
      </c>
      <c r="C11" s="10" t="n"/>
      <c r="D11" s="3" t="inlineStr">
        <is>
          <t>Average AISC, World Gold Council (Q1 2026)</t>
        </is>
      </c>
      <c r="E11" s="11" t="n">
        <v>1785</v>
      </c>
      <c r="F11" s="2" t="inlineStr">
        <is>
          <t>Industry reference for X-04.</t>
        </is>
      </c>
    </row>
    <row r="12">
      <c r="A12" s="2" t="inlineStr">
        <is>
          <t>Stage rank (formula)</t>
        </is>
      </c>
      <c r="B12" s="2">
        <f>IF($B$8="","",IFERROR(MATCH($B$8,{"G","D","R","S"},0)+1,""))</f>
        <v/>
      </c>
      <c r="D12" s="3" t="inlineStr">
        <is>
          <t>Base case: majors' reserve price (formula)</t>
        </is>
      </c>
      <c r="E12" s="12">
        <f>MIN(E7,E9)</f>
        <v/>
      </c>
      <c r="F12" s="2" t="inlineStr">
        <is>
          <t>Lower of the two reserve prices; used by X-01, X-04 and the Calculators.</t>
        </is>
      </c>
    </row>
    <row r="13"/>
    <row r="14" ht="30" customHeight="1">
      <c r="A14" s="13" t="inlineStr">
        <is>
          <t>ID</t>
        </is>
      </c>
      <c r="B14" s="13" t="inlineStr">
        <is>
          <t>Sec.</t>
        </is>
      </c>
      <c r="C14" s="13" t="inlineStr">
        <is>
          <t>Criterion</t>
        </is>
      </c>
      <c r="D14" s="13" t="inlineStr">
        <is>
          <t>Guidance: what it means, what good looks like, thresholds</t>
        </is>
      </c>
      <c r="E14" s="13" t="inlineStr">
        <is>
          <t>Where to find it / how to compute</t>
        </is>
      </c>
      <c r="F14" s="13" t="inlineStr">
        <is>
          <t>Unit</t>
        </is>
      </c>
      <c r="G14" s="13" t="inlineStr">
        <is>
          <t>Stage</t>
        </is>
      </c>
      <c r="H14" s="13" t="inlineStr">
        <is>
          <t>Tier</t>
        </is>
      </c>
      <c r="I14" s="13" t="inlineStr">
        <is>
          <t>Favourable answer (polarity)</t>
        </is>
      </c>
      <c r="J14" s="13" t="inlineStr">
        <is>
          <t>KO</t>
        </is>
      </c>
      <c r="K14" s="13" t="inlineStr">
        <is>
          <t>Answer</t>
        </is>
      </c>
      <c r="L14" s="13" t="inlineStr">
        <is>
          <t>Result</t>
        </is>
      </c>
      <c r="M14" s="13" t="inlineStr">
        <is>
          <t>Source and date checked</t>
        </is>
      </c>
      <c r="N14" s="13" t="inlineStr">
        <is>
          <t>Notes</t>
        </is>
      </c>
      <c r="O14" s="13" t="inlineStr">
        <is>
          <t>Rank</t>
        </is>
      </c>
      <c r="P14" s="13" t="inlineStr">
        <is>
          <t>Applies</t>
        </is>
      </c>
    </row>
    <row r="15" ht="18" customHeight="1">
      <c r="A15" s="14" t="inlineStr">
        <is>
          <t>C</t>
        </is>
      </c>
      <c r="B15" s="15" t="inlineStr">
        <is>
          <t>C</t>
        </is>
      </c>
      <c r="C15" s="14" t="inlineStr">
        <is>
          <t>CORPORATE HYGIENE &amp; LISTING</t>
        </is>
      </c>
      <c r="D15" s="16" t="inlineStr">
        <is>
          <t>Ten-minute checks that catch recycled shells before any geology is read. All stages.</t>
        </is>
      </c>
      <c r="E15" s="17" t="n"/>
      <c r="F15" s="17" t="n"/>
      <c r="G15" s="17" t="n"/>
      <c r="H15" s="17" t="n"/>
      <c r="I15" s="17" t="n"/>
      <c r="J15" s="17" t="n"/>
      <c r="K15" s="17" t="n"/>
      <c r="L15" s="17" t="n"/>
      <c r="M15" s="17" t="n"/>
      <c r="N15" s="17" t="n"/>
      <c r="O15" s="17" t="n"/>
      <c r="P15" s="17" t="n"/>
    </row>
    <row r="16" ht="44.5" customHeight="1">
      <c r="A16" s="18" t="inlineStr">
        <is>
          <t>C-01</t>
        </is>
      </c>
      <c r="B16" s="18" t="inlineStr">
        <is>
          <t>C</t>
        </is>
      </c>
      <c r="C16" s="19" t="inlineStr">
        <is>
          <t>Company name</t>
        </is>
      </c>
      <c r="D16" s="19" t="inlineStr">
        <is>
          <t>Serious companies carry a name that reflects geography, commodity or corporate identity. Marketing names ("Moonshot Minerals", "Skyrocket Explorations") suggest promotion matters more than exploration (author's rule of thumb; amber, not red).</t>
        </is>
      </c>
      <c r="E16" s="19" t="inlineStr">
        <is>
          <t>Website; SEDAR+ issuer profile.</t>
        </is>
      </c>
      <c r="F16" s="19" t="inlineStr">
        <is>
          <t>text</t>
        </is>
      </c>
      <c r="G16" s="18" t="inlineStr">
        <is>
          <t>All</t>
        </is>
      </c>
      <c r="H16" s="18" t="n">
        <v>2</v>
      </c>
      <c r="I16" s="19" t="inlineStr">
        <is>
          <t>Marketing name = red flag</t>
        </is>
      </c>
      <c r="J16" s="18" t="inlineStr"/>
      <c r="K16" s="20" t="n"/>
      <c r="L16" s="21" t="n"/>
      <c r="M16" s="20" t="n"/>
      <c r="N16" s="20" t="n"/>
      <c r="O16" s="2">
        <f>IF(G16="All",1,IFERROR(MATCH(G16,{"G","D","R","S"},0)+1,1))</f>
        <v/>
      </c>
      <c r="P16" s="2">
        <f>IF($B$12="","",IF(O16&lt;=$B$12,"yes","no"))</f>
        <v/>
      </c>
    </row>
    <row r="17" ht="31" customHeight="1">
      <c r="A17" s="18" t="inlineStr">
        <is>
          <t>C-02</t>
        </is>
      </c>
      <c r="B17" s="18" t="inlineStr">
        <is>
          <t>C</t>
        </is>
      </c>
      <c r="C17" s="19" t="inlineStr">
        <is>
          <t>Name changes in the last 10 years</t>
        </is>
      </c>
      <c r="D17" s="19" t="inlineStr">
        <is>
          <t>Count them. More than 2 = red flag (serial re-branding usually follows failed stories).</t>
        </is>
      </c>
      <c r="E17" s="19" t="inlineStr">
        <is>
          <t>SEDAR+ issuer profile (former names); ASX company page; Companies House (UK).</t>
        </is>
      </c>
      <c r="F17" s="19" t="inlineStr">
        <is>
          <t>#</t>
        </is>
      </c>
      <c r="G17" s="18" t="inlineStr">
        <is>
          <t>All</t>
        </is>
      </c>
      <c r="H17" s="18" t="n">
        <v>1</v>
      </c>
      <c r="I17" s="19" t="inlineStr">
        <is>
          <t>Lower is better; &gt;2 = red flag</t>
        </is>
      </c>
      <c r="J17" s="18" t="inlineStr">
        <is>
          <t>R</t>
        </is>
      </c>
      <c r="K17" s="20" t="n"/>
      <c r="L17" s="21" t="n"/>
      <c r="M17" s="20" t="n"/>
      <c r="N17" s="20" t="n"/>
      <c r="O17" s="2">
        <f>IF(G17="All",1,IFERROR(MATCH(G17,{"G","D","R","S"},0)+1,1))</f>
        <v/>
      </c>
      <c r="P17" s="2">
        <f>IF($B$12="","",IF(O17&lt;=$B$12,"yes","no"))</f>
        <v/>
      </c>
    </row>
    <row r="18" ht="31" customHeight="1">
      <c r="A18" s="18" t="inlineStr">
        <is>
          <t>C-03</t>
        </is>
      </c>
      <c r="B18" s="18" t="inlineStr">
        <is>
          <t>C</t>
        </is>
      </c>
      <c r="C18" s="19" t="inlineStr">
        <is>
          <t>Commodity or business pivots in the last 10 years</t>
        </is>
      </c>
      <c r="D18" s="19" t="inlineStr">
        <is>
          <t>Count unrelated pivots (e.g. cannabis 2018, lithium 2022, uranium 2024, gold 2025). More than 1 unrelated pivot = red flag. Cross-check the legacy assets left behind (A-05).</t>
        </is>
      </c>
      <c r="E18" s="19" t="inlineStr">
        <is>
          <t>Annual reports / AIF corporate history; SEDAR+ former names; old news releases.</t>
        </is>
      </c>
      <c r="F18" s="19" t="inlineStr">
        <is>
          <t>#</t>
        </is>
      </c>
      <c r="G18" s="18" t="inlineStr">
        <is>
          <t>All</t>
        </is>
      </c>
      <c r="H18" s="18" t="n">
        <v>1</v>
      </c>
      <c r="I18" s="19" t="inlineStr">
        <is>
          <t>Lower is better; &gt;1 unrelated pivot = red flag</t>
        </is>
      </c>
      <c r="J18" s="18" t="inlineStr">
        <is>
          <t>R</t>
        </is>
      </c>
      <c r="K18" s="20" t="n"/>
      <c r="L18" s="21" t="n"/>
      <c r="M18" s="20" t="n"/>
      <c r="N18" s="20" t="n"/>
      <c r="O18" s="2">
        <f>IF(G18="All",1,IFERROR(MATCH(G18,{"G","D","R","S"},0)+1,1))</f>
        <v/>
      </c>
      <c r="P18" s="2">
        <f>IF($B$12="","",IF(O18&lt;=$B$12,"yes","no"))</f>
        <v/>
      </c>
    </row>
    <row r="19" ht="71.5" customHeight="1">
      <c r="A19" s="18" t="inlineStr">
        <is>
          <t>C-04</t>
        </is>
      </c>
      <c r="B19" s="18" t="inlineStr">
        <is>
          <t>C</t>
        </is>
      </c>
      <c r="C19" s="19" t="inlineStr">
        <is>
          <t>Business model (select one)</t>
        </is>
      </c>
      <c r="D19" s="19" t="inlineStr">
        <is>
          <t>Explorer / Project (prospect) generator / Developer / Producer / Royalty / Lifestyle. The sheet is written for a single-asset explorer. If Project generator: rows A-01 to A-04 reverse polarity (being the vendor, holding a free carry and a retained 1-3% NSR are positives), F-04 is not a negative, and answer A-06. If Lifestyle suspected: score C-05. If Developer or Producer: use sections MP and X. If Royalty: out of scope.</t>
        </is>
      </c>
      <c r="E19" s="19" t="inlineStr">
        <is>
          <t>Corporate presentation; MD&amp;A description of business.</t>
        </is>
      </c>
      <c r="F19" s="19" t="inlineStr">
        <is>
          <t>select</t>
        </is>
      </c>
      <c r="G19" s="18" t="inlineStr">
        <is>
          <t>All</t>
        </is>
      </c>
      <c r="H19" s="18" t="n">
        <v>1</v>
      </c>
      <c r="I19" s="19" t="inlineStr">
        <is>
          <t>Select; drives which rows apply</t>
        </is>
      </c>
      <c r="J19" s="18" t="inlineStr"/>
      <c r="K19" s="20" t="n"/>
      <c r="L19" s="21" t="n"/>
      <c r="M19" s="20" t="n"/>
      <c r="N19" s="20" t="n"/>
      <c r="O19" s="2">
        <f>IF(G19="All",1,IFERROR(MATCH(G19,{"G","D","R","S"},0)+1,1))</f>
        <v/>
      </c>
      <c r="P19" s="2">
        <f>IF($B$12="","",IF(O19&lt;=$B$12,"yes","no"))</f>
        <v/>
      </c>
    </row>
    <row r="20" ht="71.5" customHeight="1">
      <c r="A20" s="18" t="inlineStr">
        <is>
          <t>C-05</t>
        </is>
      </c>
      <c r="B20" s="18" t="inlineStr">
        <is>
          <t>C</t>
        </is>
      </c>
      <c r="C20" s="19" t="inlineStr">
        <is>
          <t>Lifestyle-company test (count of signatures)</t>
        </is>
      </c>
      <c r="D20" s="19" t="inlineStr">
        <is>
          <t>Score one point each: (1) listed &gt;3 years with &lt;2,000 m drilled in total; (2) each of the last two financings smaller than 12 months of G&amp;A; (3) CEO or CFO is an officer of 3+ other issuers at the same registered address; (4) 4+ programmes on the same target without a discovery (D-12); (5) G&amp;A exceeded exploration spend in 3 of the last 4 fiscal years (F-04). Two or more = red flag.</t>
        </is>
      </c>
      <c r="E20" s="19" t="inlineStr">
        <is>
          <t>Financial statements (5 years); MD&amp;A; management information circular; SEDAR+ registered address.</t>
        </is>
      </c>
      <c r="F20" s="19" t="inlineStr">
        <is>
          <t># of 5</t>
        </is>
      </c>
      <c r="G20" s="18" t="inlineStr">
        <is>
          <t>All</t>
        </is>
      </c>
      <c r="H20" s="18" t="n">
        <v>2</v>
      </c>
      <c r="I20" s="19" t="inlineStr">
        <is>
          <t>Lower is better; &gt;=2 = red flag</t>
        </is>
      </c>
      <c r="J20" s="18" t="inlineStr">
        <is>
          <t>R</t>
        </is>
      </c>
      <c r="K20" s="20" t="n"/>
      <c r="L20" s="21" t="n"/>
      <c r="M20" s="20" t="n"/>
      <c r="N20" s="20" t="n"/>
      <c r="O20" s="2">
        <f>IF(G20="All",1,IFERROR(MATCH(G20,{"G","D","R","S"},0)+1,1))</f>
        <v/>
      </c>
      <c r="P20" s="2">
        <f>IF($B$12="","",IF(O20&lt;=$B$12,"yes","no"))</f>
        <v/>
      </c>
    </row>
    <row r="21" ht="125.5" customHeight="1">
      <c r="A21" s="18" t="inlineStr">
        <is>
          <t>C-06</t>
        </is>
      </c>
      <c r="B21" s="18" t="inlineStr">
        <is>
          <t>C</t>
        </is>
      </c>
      <c r="C21" s="19" t="inlineStr">
        <is>
          <t>Primary exchange, tier, secondary quotes and filing system</t>
        </is>
      </c>
      <c r="D21" s="19" t="inlineStr">
        <is>
          <t>Record: primary exchange and tier (TSX-V Tier 1/2, TSX, CSE, ASX, AIM, NYSE American); ticker(s); secondary quotes (OTCQB/Pink, Frankfurt, Tradegate); principal regulator; filing system (SEDAR+ and SEDI / ASX announcements / RNS / EDGAR); any uplisting announced. TSX-V and ASX have stricter listing and continuous-disclosure requirements; CSE has lighter entry and more promotion-driven names. Frankfurt and Tradegate are market-maker quotes, not listings: no disclosure duty there, so always read home-exchange filings. Note where most volume trades; most volume on Frankfurt or OTC rather than at home = caution (K-06, M-02). CSE-only plus Frankfurt quote plus active German IR = raise the bar on section M.</t>
        </is>
      </c>
      <c r="E21" s="19" t="inlineStr">
        <is>
          <t>Exchange websites; company website 'Investors'; SEDAR+ profile.</t>
        </is>
      </c>
      <c r="F21" s="19" t="inlineStr">
        <is>
          <t>text</t>
        </is>
      </c>
      <c r="G21" s="18" t="inlineStr">
        <is>
          <t>All</t>
        </is>
      </c>
      <c r="H21" s="18" t="n">
        <v>1</v>
      </c>
      <c r="I21" s="19" t="inlineStr">
        <is>
          <t>Info; CSE + German promotion = caution</t>
        </is>
      </c>
      <c r="J21" s="18" t="inlineStr"/>
      <c r="K21" s="20" t="n"/>
      <c r="L21" s="21" t="n"/>
      <c r="M21" s="20" t="n"/>
      <c r="N21" s="20" t="n"/>
      <c r="O21" s="2">
        <f>IF(G21="All",1,IFERROR(MATCH(G21,{"G","D","R","S"},0)+1,1))</f>
        <v/>
      </c>
      <c r="P21" s="2">
        <f>IF($B$12="","",IF(O21&lt;=$B$12,"yes","no"))</f>
        <v/>
      </c>
    </row>
    <row r="22" ht="44.5" customHeight="1">
      <c r="A22" s="18" t="inlineStr">
        <is>
          <t>C-07</t>
        </is>
      </c>
      <c r="B22" s="18" t="inlineStr">
        <is>
          <t>C</t>
        </is>
      </c>
      <c r="C22" s="19" t="inlineStr">
        <is>
          <t>Listing route and age</t>
        </is>
      </c>
      <c r="D22" s="19" t="inlineStr">
        <is>
          <t>IPO / capital pool company (CPC) qualifying transaction / reverse takeover (RTO); years listed under this ticker; prior businesses under the same listing. Shell recycling, not the route itself, is the flag (see C-02, C-03, C-08).</t>
        </is>
      </c>
      <c r="E22" s="19" t="inlineStr">
        <is>
          <t>SEDAR+ filing statement or prospectus; AIF corporate history.</t>
        </is>
      </c>
      <c r="F22" s="19" t="inlineStr">
        <is>
          <t>text</t>
        </is>
      </c>
      <c r="G22" s="18" t="inlineStr">
        <is>
          <t>All</t>
        </is>
      </c>
      <c r="H22" s="18" t="n">
        <v>3</v>
      </c>
      <c r="I22" s="19" t="inlineStr">
        <is>
          <t>Info</t>
        </is>
      </c>
      <c r="J22" s="18" t="inlineStr"/>
      <c r="K22" s="20" t="n"/>
      <c r="L22" s="21" t="n"/>
      <c r="M22" s="20" t="n"/>
      <c r="N22" s="20" t="n"/>
      <c r="O22" s="2">
        <f>IF(G22="All",1,IFERROR(MATCH(G22,{"G","D","R","S"},0)+1,1))</f>
        <v/>
      </c>
      <c r="P22" s="2">
        <f>IF($B$12="","",IF(O22&lt;=$B$12,"yes","no"))</f>
        <v/>
      </c>
    </row>
    <row r="23" ht="44.5" customHeight="1">
      <c r="A23" s="18" t="inlineStr">
        <is>
          <t>C-08</t>
        </is>
      </c>
      <c r="B23" s="18" t="inlineStr">
        <is>
          <t>C</t>
        </is>
      </c>
      <c r="C23" s="19" t="inlineStr">
        <is>
          <t>Share consolidations (rollbacks) in the last 10 years</t>
        </is>
      </c>
      <c r="D23" s="19" t="inlineStr">
        <is>
          <t>Count consolidations and the cumulative ratio (e.g. 1:10 then 1:5 = 1:50). Two or more = serial diluter; any rollback without a subsequent discovery = red flag. Rule of thumb: more than 200m shares trading below C$0.10 = another rollback coming.</t>
        </is>
      </c>
      <c r="E23" s="19" t="inlineStr">
        <is>
          <t>Financial statements share-capital note; SEDAR+ news releases 'consolidation'.</t>
        </is>
      </c>
      <c r="F23" s="19" t="inlineStr">
        <is>
          <t># / ratio</t>
        </is>
      </c>
      <c r="G23" s="18" t="inlineStr">
        <is>
          <t>All</t>
        </is>
      </c>
      <c r="H23" s="18" t="n">
        <v>2</v>
      </c>
      <c r="I23" s="19" t="inlineStr">
        <is>
          <t>Lower is better; &gt;=2, or any rollback without a subsequent discovery = red flag</t>
        </is>
      </c>
      <c r="J23" s="18" t="inlineStr">
        <is>
          <t>R</t>
        </is>
      </c>
      <c r="K23" s="20" t="n"/>
      <c r="L23" s="21" t="n"/>
      <c r="M23" s="20" t="n"/>
      <c r="N23" s="20" t="n"/>
      <c r="O23" s="2">
        <f>IF(G23="All",1,IFERROR(MATCH(G23,{"G","D","R","S"},0)+1,1))</f>
        <v/>
      </c>
      <c r="P23" s="2">
        <f>IF($B$12="","",IF(O23&lt;=$B$12,"yes","no"))</f>
        <v/>
      </c>
    </row>
    <row r="24" ht="152.5" customHeight="1">
      <c r="A24" s="18" t="inlineStr">
        <is>
          <t>C-09</t>
        </is>
      </c>
      <c r="B24" s="18" t="inlineStr">
        <is>
          <t>C</t>
        </is>
      </c>
      <c r="C24" s="19" t="inlineStr">
        <is>
          <t>Regulatory and litigation history (issuer and key insiders)</t>
        </is>
      </c>
      <c r="D24" s="19" t="inlineStr">
        <is>
          <t>For CEO, CFO, chair and VP Exploration: Canadian Securities Administrators cease-trade-order database and Disciplined List, provincial commission decisions (BCSC, ASC, OSC), TSX-V bulletins, SEC litigation releases, ASIC banned register, FCA register; search '[name] cease trade / lawsuit / fraud / bankruptcy'. Any enforcement cease-trade order, sanction or promoter settlement = hard stop. A management cease-trade order for a late filing must be explained (see C-10). Company: pending litigation (title, vendor, environmental) per AIF or MD&amp;A.</t>
        </is>
      </c>
      <c r="E24" s="19" t="inlineStr">
        <is>
          <t>Mandatory disclosure first: management information circular 'Cease trade orders, bankruptcies, penalties or sanctions' (Form 51-102F5 item 7.2) and AIF item 10.2 (Canada); ASX annual report directors' report; AIM admission document. Then: CSA cease-trade-order database and Disciplined List (searchable on sedarplus.ca); SEC EDGAR litigation releases; ASIC banned and disqualified register; FCA register; AIF / MD&amp;A 'Legal proceedings'.</t>
        </is>
      </c>
      <c r="F24" s="19" t="inlineStr">
        <is>
          <t>Y/N + link</t>
        </is>
      </c>
      <c r="G24" s="18" t="inlineStr">
        <is>
          <t>All</t>
        </is>
      </c>
      <c r="H24" s="18" t="n">
        <v>1</v>
      </c>
      <c r="I24" s="19" t="inlineStr">
        <is>
          <t>Y (any sanction) = hard stop</t>
        </is>
      </c>
      <c r="J24" s="18" t="inlineStr">
        <is>
          <t>H</t>
        </is>
      </c>
      <c r="K24" s="20" t="n"/>
      <c r="L24" s="21" t="n"/>
      <c r="M24" s="20" t="n"/>
      <c r="N24" s="20" t="n"/>
      <c r="O24" s="2">
        <f>IF(G24="All",1,IFERROR(MATCH(G24,{"G","D","R","S"},0)+1,1))</f>
        <v/>
      </c>
      <c r="P24" s="2">
        <f>IF($B$12="","",IF(O24&lt;=$B$12,"yes","no"))</f>
        <v/>
      </c>
    </row>
    <row r="25" ht="85" customHeight="1">
      <c r="A25" s="18" t="inlineStr">
        <is>
          <t>C-10</t>
        </is>
      </c>
      <c r="B25" s="18" t="inlineStr">
        <is>
          <t>C</t>
        </is>
      </c>
      <c r="C25" s="19" t="inlineStr">
        <is>
          <t>Financial statement quality</t>
        </is>
      </c>
      <c r="D25" s="19" t="inlineStr">
        <is>
          <t>Record the auditor (a firm known in mining, e.g. Davidson, Manning Elliott, MNP, DMCL, BDO, or an unknown one-partner shop), any auditor change in 3 years and the stated reason, the audit opinion (unqualified with going-concern emphasis is normal for explorers; qualified or adverse = red flag), and any late filings or management cease-trade order in 5 years (red flag).</t>
        </is>
      </c>
      <c r="E25" s="19" t="inlineStr">
        <is>
          <t>Annual financial statements and auditor's report; SEDAR+ 'change of auditor' reporting package (NI 51-102 s.4.11); CSA cease-trade-order database for MCTOs (searchable on sedarplus.ca); ASX / AIM annual report auditor's report.</t>
        </is>
      </c>
      <c r="F25" s="19" t="inlineStr">
        <is>
          <t>text / Y/N</t>
        </is>
      </c>
      <c r="G25" s="18" t="inlineStr">
        <is>
          <t>All</t>
        </is>
      </c>
      <c r="H25" s="18" t="n">
        <v>2</v>
      </c>
      <c r="I25" s="19" t="inlineStr">
        <is>
          <t>Qualified opinion, auditor change without reason, late filings = red flag</t>
        </is>
      </c>
      <c r="J25" s="18" t="inlineStr">
        <is>
          <t>R</t>
        </is>
      </c>
      <c r="K25" s="20" t="n"/>
      <c r="L25" s="21" t="n"/>
      <c r="M25" s="20" t="n"/>
      <c r="N25" s="20" t="n"/>
      <c r="O25" s="2">
        <f>IF(G25="All",1,IFERROR(MATCH(G25,{"G","D","R","S"},0)+1,1))</f>
        <v/>
      </c>
      <c r="P25" s="2">
        <f>IF($B$12="","",IF(O25&lt;=$B$12,"yes","no"))</f>
        <v/>
      </c>
    </row>
    <row r="26" ht="71.5" customHeight="1">
      <c r="A26" s="18" t="inlineStr">
        <is>
          <t>C-11</t>
        </is>
      </c>
      <c r="B26" s="18" t="inlineStr">
        <is>
          <t>C</t>
        </is>
      </c>
      <c r="C26" s="19" t="inlineStr">
        <is>
          <t>Currencies</t>
        </is>
      </c>
      <c r="D26" s="19" t="inlineStr">
        <is>
          <t>State four: reporting currency, currency the cash is held in, currency the budget is spent in, your own currency. Convert every $ figure in this questionnaire to one currency (state which) before computing ratios; note the EUR/CAD (or EUR/AUD, EUR/USD) rate on the day. Cash held in a different currency from the budget is an unhedged exposure that can shorten runway (F-03). Your EUR return = share-price return + FX return.</t>
        </is>
      </c>
      <c r="E26" s="19" t="inlineStr">
        <is>
          <t>Financial statements note 'Presentation currency'; MD&amp;A; ECB reference rates.</t>
        </is>
      </c>
      <c r="F26" s="19" t="inlineStr">
        <is>
          <t>text</t>
        </is>
      </c>
      <c r="G26" s="18" t="inlineStr">
        <is>
          <t>All</t>
        </is>
      </c>
      <c r="H26" s="18" t="n">
        <v>2</v>
      </c>
      <c r="I26" s="19" t="inlineStr">
        <is>
          <t>Info</t>
        </is>
      </c>
      <c r="J26" s="18" t="inlineStr"/>
      <c r="K26" s="20" t="n"/>
      <c r="L26" s="21" t="n"/>
      <c r="M26" s="20" t="n"/>
      <c r="N26" s="20" t="n"/>
      <c r="O26" s="2">
        <f>IF(G26="All",1,IFERROR(MATCH(G26,{"G","D","R","S"},0)+1,1))</f>
        <v/>
      </c>
      <c r="P26" s="2">
        <f>IF($B$12="","",IF(O26&lt;=$B$12,"yes","no"))</f>
        <v/>
      </c>
    </row>
    <row r="27" ht="18" customHeight="1">
      <c r="A27" s="14" t="inlineStr">
        <is>
          <t>P</t>
        </is>
      </c>
      <c r="B27" s="15" t="inlineStr">
        <is>
          <t>P</t>
        </is>
      </c>
      <c r="C27" s="14" t="inlineStr">
        <is>
          <t>PEOPLE &amp; ALIGNMENT</t>
        </is>
      </c>
      <c r="D27" s="16" t="inlineStr">
        <is>
          <t>Who runs it, what they have at risk, and who else is on the register. All stages.</t>
        </is>
      </c>
      <c r="E27" s="17" t="n"/>
      <c r="F27" s="17" t="n"/>
      <c r="G27" s="17" t="n"/>
      <c r="H27" s="17" t="n"/>
      <c r="I27" s="17" t="n"/>
      <c r="J27" s="17" t="n"/>
      <c r="K27" s="17" t="n"/>
      <c r="L27" s="17" t="n"/>
      <c r="M27" s="17" t="n"/>
      <c r="N27" s="17" t="n"/>
      <c r="O27" s="17" t="n"/>
      <c r="P27" s="17" t="n"/>
    </row>
    <row r="28" ht="98.5" customHeight="1">
      <c r="A28" s="18" t="inlineStr">
        <is>
          <t>P-01</t>
        </is>
      </c>
      <c r="B28" s="18" t="inlineStr">
        <is>
          <t>P</t>
        </is>
      </c>
      <c r="C28" s="19" t="inlineStr">
        <is>
          <t>CEO and technical-lead track record (batting average)</t>
        </is>
      </c>
      <c r="D28" s="19" t="inlineStr">
        <is>
          <t>For the CEO and the VP Exploration: is the role full-time? List each prior public company and its outcome: sold at a premium / discovery / rollback / delisted / renamed / still a shell. The test is 'has this person sold a company or built a mine that made money for outside shareholders? Name the deal.' At least one such outcome = good. Three or more prior shells with no exit = red flag. Names dropped on a slide are not a track record.</t>
        </is>
      </c>
      <c r="E28" s="19" t="inlineStr">
        <is>
          <t>Management information circular and website bios; AIF 'Directors and officers'; ASX annual report directors' report (other listed directorships in the last 3 years); Stockwatch insider search (paid); SEDAR+ full-text search of the name (free); Companies House officer search (UK, free).</t>
        </is>
      </c>
      <c r="F28" s="19" t="inlineStr">
        <is>
          <t># exits / # companies</t>
        </is>
      </c>
      <c r="G28" s="18" t="inlineStr">
        <is>
          <t>All</t>
        </is>
      </c>
      <c r="H28" s="18" t="n">
        <v>1</v>
      </c>
      <c r="I28" s="19" t="inlineStr">
        <is>
          <t>Higher is better; &gt;=3 shells, no exit = red flag</t>
        </is>
      </c>
      <c r="J28" s="18" t="inlineStr">
        <is>
          <t>R</t>
        </is>
      </c>
      <c r="K28" s="20" t="n"/>
      <c r="L28" s="21" t="n"/>
      <c r="M28" s="20" t="n"/>
      <c r="N28" s="20" t="n"/>
      <c r="O28" s="2">
        <f>IF(G28="All",1,IFERROR(MATCH(G28,{"G","D","R","S"},0)+1,1))</f>
        <v/>
      </c>
      <c r="P28" s="2">
        <f>IF($B$12="","",IF(O28&lt;=$B$12,"yes","no"))</f>
        <v/>
      </c>
    </row>
    <row r="29" ht="85" customHeight="1">
      <c r="A29" s="18" t="inlineStr">
        <is>
          <t>P-02</t>
        </is>
      </c>
      <c r="B29" s="18" t="inlineStr">
        <is>
          <t>P</t>
        </is>
      </c>
      <c r="C29" s="19" t="inlineStr">
        <is>
          <t>Board count and time commitment</t>
        </is>
      </c>
      <c r="D29" s="19" t="inlineStr">
        <is>
          <t>Number of concurrent public-company board or officer roles per key insider (CEO, CFO, chair, VP Exploration). More than 4 = part-timer (red flag) unless part of a recognised sponsor group (P-18). The same CFO or corporate secretary across 10 shells = group factory. Record the highest count.</t>
        </is>
      </c>
      <c r="E29" s="19" t="inlineStr">
        <is>
          <t>Management information circular director biographies and corporate-governance disclosure 'Directorships' (Form 58-101F2 item 2); AIF; ASX directors' report (other listed directorships in the last 3 years); Companies House officer search (UK).</t>
        </is>
      </c>
      <c r="F29" s="19" t="inlineStr">
        <is>
          <t>#</t>
        </is>
      </c>
      <c r="G29" s="18" t="inlineStr">
        <is>
          <t>All</t>
        </is>
      </c>
      <c r="H29" s="18" t="n">
        <v>2</v>
      </c>
      <c r="I29" s="19" t="inlineStr">
        <is>
          <t>Lower is better; &gt;4 = red flag</t>
        </is>
      </c>
      <c r="J29" s="18" t="inlineStr">
        <is>
          <t>R</t>
        </is>
      </c>
      <c r="K29" s="20" t="n"/>
      <c r="L29" s="21" t="n"/>
      <c r="M29" s="20" t="n"/>
      <c r="N29" s="20" t="n"/>
      <c r="O29" s="2">
        <f>IF(G29="All",1,IFERROR(MATCH(G29,{"G","D","R","S"},0)+1,1))</f>
        <v/>
      </c>
      <c r="P29" s="2">
        <f>IF($B$12="","",IF(O29&lt;=$B$12,"yes","no"))</f>
        <v/>
      </c>
    </row>
    <row r="30" ht="44.5" customHeight="1">
      <c r="A30" s="18" t="inlineStr">
        <is>
          <t>P-03</t>
        </is>
      </c>
      <c r="B30" s="18" t="inlineStr">
        <is>
          <t>P</t>
        </is>
      </c>
      <c r="C30" s="19" t="inlineStr">
        <is>
          <t>Team composition</t>
        </is>
      </c>
      <c r="D30" s="19" t="inlineStr">
        <is>
          <t>Does the team cover financing, marketing, strategic networking, geoscience with a discovery record, permitting and community, and in-country presence (P-05)? A hole is acceptable if management names it and has a plan to fill it.</t>
        </is>
      </c>
      <c r="E30" s="19" t="inlineStr">
        <is>
          <t>Website bios; management information circular; news releases on appointments.</t>
        </is>
      </c>
      <c r="F30" s="19" t="inlineStr">
        <is>
          <t>Y/N</t>
        </is>
      </c>
      <c r="G30" s="18" t="inlineStr">
        <is>
          <t>All</t>
        </is>
      </c>
      <c r="H30" s="18" t="n">
        <v>2</v>
      </c>
      <c r="I30" s="19" t="inlineStr">
        <is>
          <t>Y = good</t>
        </is>
      </c>
      <c r="J30" s="18" t="inlineStr"/>
      <c r="K30" s="20" t="n"/>
      <c r="L30" s="21" t="n"/>
      <c r="M30" s="20" t="n"/>
      <c r="N30" s="20" t="n"/>
      <c r="O30" s="2">
        <f>IF(G30="All",1,IFERROR(MATCH(G30,{"G","D","R","S"},0)+1,1))</f>
        <v/>
      </c>
      <c r="P30" s="2">
        <f>IF($B$12="","",IF(O30&lt;=$B$12,"yes","no"))</f>
        <v/>
      </c>
    </row>
    <row r="31" ht="71.5" customHeight="1">
      <c r="A31" s="18" t="inlineStr">
        <is>
          <t>P-04</t>
        </is>
      </c>
      <c r="B31" s="18" t="inlineStr">
        <is>
          <t>P</t>
        </is>
      </c>
      <c r="C31" s="19" t="inlineStr">
        <is>
          <t>Board independence and cost</t>
        </is>
      </c>
      <c r="D31" s="19" t="inlineStr">
        <is>
          <t>Independent directors at least 50% and Chair not the CEO; audit committee majority independent (venture issuers need only a majority who are not executive officers, employees or control persons under NI 52-110 s.6.1.1; note which standard the circular applies); director fees above C$30k p.a. per director at a market cap below C$20m = watch. High-calibre names with no involvement are window dressing: check attendance and committee roles.</t>
        </is>
      </c>
      <c r="E31" s="19" t="inlineStr">
        <is>
          <t>Management information circular (Canada); annual report (ASX, AIM).</t>
        </is>
      </c>
      <c r="F31" s="19" t="inlineStr">
        <is>
          <t>Y/N per item</t>
        </is>
      </c>
      <c r="G31" s="18" t="inlineStr">
        <is>
          <t>All</t>
        </is>
      </c>
      <c r="H31" s="18" t="n">
        <v>2</v>
      </c>
      <c r="I31" s="19" t="inlineStr">
        <is>
          <t>Y = good</t>
        </is>
      </c>
      <c r="J31" s="18" t="inlineStr"/>
      <c r="K31" s="20" t="n"/>
      <c r="L31" s="21" t="n"/>
      <c r="M31" s="20" t="n"/>
      <c r="N31" s="20" t="n"/>
      <c r="O31" s="2">
        <f>IF(G31="All",1,IFERROR(MATCH(G31,{"G","D","R","S"},0)+1,1))</f>
        <v/>
      </c>
      <c r="P31" s="2">
        <f>IF($B$12="","",IF(O31&lt;=$B$12,"yes","no"))</f>
        <v/>
      </c>
    </row>
    <row r="32" ht="125.5" customHeight="1">
      <c r="A32" s="18" t="inlineStr">
        <is>
          <t>P-05</t>
        </is>
      </c>
      <c r="B32" s="18" t="inlineStr">
        <is>
          <t>P</t>
        </is>
      </c>
      <c r="C32" s="19" t="inlineStr">
        <is>
          <t>In-country presence and local team</t>
        </is>
      </c>
      <c r="D32" s="19" t="inlineStr">
        <is>
          <t>Observable proxies: (a) in-country subsidiary and office (financial statements subsidiaries note; technical report item 4 title holder); (b) a named country manager, local director or community-relations lead who is a national with a verifiable prior role there; (c) dated evidence of management site presence in the last 12 months (site photos in news releases, QP site-visit date, investor tours); (d) payments to governments (ESTMA report; only payments of C$100k or more per payee and category are reported, so a nil report is normal for a small explorer) consistent with licence fees and no unexplained payees; (e) disclosure or press coverage in the host-country language. In an 'exotic' jurisdiction (defined in J-01), (a) and (b) both missing = hard stop.</t>
        </is>
      </c>
      <c r="E32" s="19" t="inlineStr">
        <is>
          <t>Financial statements subsidiaries note; technical report item 4; website; NRCan ESTMA portal; local press search.</t>
        </is>
      </c>
      <c r="F32" s="19" t="inlineStr">
        <is>
          <t>Y/N per item</t>
        </is>
      </c>
      <c r="G32" s="18" t="inlineStr">
        <is>
          <t>All</t>
        </is>
      </c>
      <c r="H32" s="18" t="n">
        <v>1</v>
      </c>
      <c r="I32" s="19" t="inlineStr">
        <is>
          <t>Y = good; (a)+(b) missing in exotic jurisdiction = hard stop</t>
        </is>
      </c>
      <c r="J32" s="18" t="inlineStr">
        <is>
          <t>H</t>
        </is>
      </c>
      <c r="K32" s="20" t="n"/>
      <c r="L32" s="21" t="n"/>
      <c r="M32" s="20" t="n"/>
      <c r="N32" s="20" t="n"/>
      <c r="O32" s="2">
        <f>IF(G32="All",1,IFERROR(MATCH(G32,{"G","D","R","S"},0)+1,1))</f>
        <v/>
      </c>
      <c r="P32" s="2">
        <f>IF($B$12="","",IF(O32&lt;=$B$12,"yes","no"))</f>
        <v/>
      </c>
    </row>
    <row r="33" ht="71.5" customHeight="1">
      <c r="A33" s="18" t="inlineStr">
        <is>
          <t>P-06</t>
        </is>
      </c>
      <c r="B33" s="18" t="inlineStr">
        <is>
          <t>P</t>
        </is>
      </c>
      <c r="C33" s="19" t="inlineStr">
        <is>
          <t>Insider ownership (basic shares)</t>
        </is>
      </c>
      <c r="D33" s="19" t="inlineStr">
        <is>
          <t>Shares held by all officers and directors / basic shares outstanding. Below 5% = red flag; 10-30% preferred; above 50% = control and liquidity concern unless the holder is a strategic partner. % always means % of basic shares outstanding unless stated.</t>
        </is>
      </c>
      <c r="E33" s="19" t="inlineStr">
        <is>
          <t>Management information circular 'Voting securities and principal holders'; SEDI insider profiles (sedi.ca); basic shares from MD&amp;A 'Outstanding share data'; ASX Appendix 3Y; AIM Rule 26 page.</t>
        </is>
      </c>
      <c r="F33" s="19" t="inlineStr">
        <is>
          <t>%</t>
        </is>
      </c>
      <c r="G33" s="18" t="inlineStr">
        <is>
          <t>All</t>
        </is>
      </c>
      <c r="H33" s="18" t="n">
        <v>1</v>
      </c>
      <c r="I33" s="19" t="inlineStr">
        <is>
          <t>10-30% good; &lt;5% = red flag</t>
        </is>
      </c>
      <c r="J33" s="18" t="inlineStr">
        <is>
          <t>R</t>
        </is>
      </c>
      <c r="K33" s="20" t="n"/>
      <c r="L33" s="21" t="n"/>
      <c r="M33" s="20" t="n"/>
      <c r="N33" s="20" t="n"/>
      <c r="O33" s="2">
        <f>IF(G33="All",1,IFERROR(MATCH(G33,{"G","D","R","S"},0)+1,1))</f>
        <v/>
      </c>
      <c r="P33" s="2">
        <f>IF($B$12="","",IF(O33&lt;=$B$12,"yes","no"))</f>
        <v/>
      </c>
    </row>
    <row r="34" ht="85" customHeight="1">
      <c r="A34" s="18" t="inlineStr">
        <is>
          <t>P-07</t>
        </is>
      </c>
      <c r="B34" s="18" t="inlineStr">
        <is>
          <t>P</t>
        </is>
      </c>
      <c r="C34" s="19" t="inlineStr">
        <is>
          <t>Insider cash at risk</t>
        </is>
      </c>
      <c r="D34" s="19" t="inlineStr">
        <is>
          <t>Shares bought for cash in placements or on the open market (SEDI nature-of-transaction codes 10 = public market, 16 = private placement under a prospectus exemption; ignore 46 compensation for services, 50/51 options) x average cost / CEO annual cash compensation. Above 2x = strong alignment; below 0.5x = red flag. Founder shares issued at C$0.005 and options do not count. Also compare founder cost basis (prospectus 'Prior sales') with the last placement price.</t>
        </is>
      </c>
      <c r="E34" s="19" t="inlineStr">
        <is>
          <t>SEDI transaction history; prospectus or filing statement 'Prior sales' (SEDAR+); management information circular compensation table.</t>
        </is>
      </c>
      <c r="F34" s="19" t="inlineStr">
        <is>
          <t>x</t>
        </is>
      </c>
      <c r="G34" s="18" t="inlineStr">
        <is>
          <t>All</t>
        </is>
      </c>
      <c r="H34" s="18" t="n">
        <v>2</v>
      </c>
      <c r="I34" s="19" t="inlineStr">
        <is>
          <t>Higher is better; &lt;0.5x = red flag</t>
        </is>
      </c>
      <c r="J34" s="18" t="inlineStr">
        <is>
          <t>R</t>
        </is>
      </c>
      <c r="K34" s="20" t="n"/>
      <c r="L34" s="21" t="n"/>
      <c r="M34" s="20" t="n"/>
      <c r="N34" s="20" t="n"/>
      <c r="O34" s="2">
        <f>IF(G34="All",1,IFERROR(MATCH(G34,{"G","D","R","S"},0)+1,1))</f>
        <v/>
      </c>
      <c r="P34" s="2">
        <f>IF($B$12="","",IF(O34&lt;=$B$12,"yes","no"))</f>
        <v/>
      </c>
    </row>
    <row r="35" ht="98.5" customHeight="1">
      <c r="A35" s="18" t="inlineStr">
        <is>
          <t>P-08</t>
        </is>
      </c>
      <c r="B35" s="18" t="inlineStr">
        <is>
          <t>P</t>
        </is>
      </c>
      <c r="C35" s="19" t="inlineStr">
        <is>
          <t>Insider ownership distribution</t>
        </is>
      </c>
      <c r="D35" s="19" t="inlineStr">
        <is>
          <t>CEO and founders should be among the largest individual holders (top-10 holder, above 2-3% of basic shares, or shares worth at least 1x annual cash compensation), partly bought with their own money. VP Exploration and every director should hold shares bought on market or in placements. The largest holder may legitimately be a strategic or specialist fund (P-16, P-17, P-19). Shares issued to non-arm's-length parties (insiders, relatives, companies they control; TSX-V Policy 1.1) are flagged in news releases: check that they were not a way to hand out cheap paper.</t>
        </is>
      </c>
      <c r="E35" s="19" t="inlineStr">
        <is>
          <t>Management information circular; SEDI; placement news releases (non-arm's-length participation).</t>
        </is>
      </c>
      <c r="F35" s="19" t="inlineStr">
        <is>
          <t>% per person</t>
        </is>
      </c>
      <c r="G35" s="18" t="inlineStr">
        <is>
          <t>All</t>
        </is>
      </c>
      <c r="H35" s="18" t="n">
        <v>2</v>
      </c>
      <c r="I35" s="19" t="inlineStr">
        <is>
          <t>CEO among top individual holders and every insider holds bought shares = good</t>
        </is>
      </c>
      <c r="J35" s="18" t="inlineStr"/>
      <c r="K35" s="20" t="n"/>
      <c r="L35" s="21" t="n"/>
      <c r="M35" s="20" t="n"/>
      <c r="N35" s="20" t="n"/>
      <c r="O35" s="2">
        <f>IF(G35="All",1,IFERROR(MATCH(G35,{"G","D","R","S"},0)+1,1))</f>
        <v/>
      </c>
      <c r="P35" s="2">
        <f>IF($B$12="","",IF(O35&lt;=$B$12,"yes","no"))</f>
        <v/>
      </c>
    </row>
    <row r="36" ht="31" customHeight="1">
      <c r="A36" s="18" t="inlineStr">
        <is>
          <t>P-09</t>
        </is>
      </c>
      <c r="B36" s="18" t="inlineStr">
        <is>
          <t>P</t>
        </is>
      </c>
      <c r="C36" s="19" t="inlineStr">
        <is>
          <t>Insider participation in the last three financings</t>
        </is>
      </c>
      <c r="D36" s="19" t="inlineStr">
        <is>
          <t>Share of each round taken by directors and officers, for cash. At least 10% = strong; 0% in two consecutive rounds = red flag unless a blackout is documented.</t>
        </is>
      </c>
      <c r="E36" s="19" t="inlineStr">
        <is>
          <t>Closing news release of each placement; SEDI.</t>
        </is>
      </c>
      <c r="F36" s="19" t="inlineStr">
        <is>
          <t>%</t>
        </is>
      </c>
      <c r="G36" s="18" t="inlineStr">
        <is>
          <t>All</t>
        </is>
      </c>
      <c r="H36" s="18" t="n">
        <v>2</v>
      </c>
      <c r="I36" s="19" t="inlineStr">
        <is>
          <t>Higher is better; 0% twice = red flag</t>
        </is>
      </c>
      <c r="J36" s="18" t="inlineStr">
        <is>
          <t>R</t>
        </is>
      </c>
      <c r="K36" s="20" t="n"/>
      <c r="L36" s="21" t="n"/>
      <c r="M36" s="20" t="n"/>
      <c r="N36" s="20" t="n"/>
      <c r="O36" s="2">
        <f>IF(G36="All",1,IFERROR(MATCH(G36,{"G","D","R","S"},0)+1,1))</f>
        <v/>
      </c>
      <c r="P36" s="2">
        <f>IF($B$12="","",IF(O36&lt;=$B$12,"yes","no"))</f>
        <v/>
      </c>
    </row>
    <row r="37" ht="58" customHeight="1">
      <c r="A37" s="18" t="inlineStr">
        <is>
          <t>P-10</t>
        </is>
      </c>
      <c r="B37" s="18" t="inlineStr">
        <is>
          <t>P</t>
        </is>
      </c>
      <c r="C37" s="19" t="inlineStr">
        <is>
          <t>Insider buying and selling, last 12 months</t>
        </is>
      </c>
      <c r="D37" s="19" t="inlineStr">
        <is>
          <t>Net open-market buying = good. Distinguish open-market purchases (strong signal) from option-exercise-and-sell (neutral) and automatic sale plans. Selling into or around a financing = red flag.</t>
        </is>
      </c>
      <c r="E37" s="19" t="inlineStr">
        <is>
          <t>SEDI (sedi.ca) for Canadian issuers, aggregated on CEO.ca 'Insiders' tab or canadianinsider.com; ASX Appendix 3Y; AIM RNS director dealings; US Form 4.</t>
        </is>
      </c>
      <c r="F37" s="19" t="inlineStr">
        <is>
          <t>net $ / Y/N</t>
        </is>
      </c>
      <c r="G37" s="18" t="inlineStr">
        <is>
          <t>All</t>
        </is>
      </c>
      <c r="H37" s="18" t="n">
        <v>1</v>
      </c>
      <c r="I37" s="19" t="inlineStr">
        <is>
          <t>Net buying = good; net selling = red flag</t>
        </is>
      </c>
      <c r="J37" s="18" t="inlineStr">
        <is>
          <t>R</t>
        </is>
      </c>
      <c r="K37" s="20" t="n"/>
      <c r="L37" s="21" t="n"/>
      <c r="M37" s="20" t="n"/>
      <c r="N37" s="20" t="n"/>
      <c r="O37" s="2">
        <f>IF(G37="All",1,IFERROR(MATCH(G37,{"G","D","R","S"},0)+1,1))</f>
        <v/>
      </c>
      <c r="P37" s="2">
        <f>IF($B$12="","",IF(O37&lt;=$B$12,"yes","no"))</f>
        <v/>
      </c>
    </row>
    <row r="38" ht="58" customHeight="1">
      <c r="A38" s="18" t="inlineStr">
        <is>
          <t>P-11</t>
        </is>
      </c>
      <c r="B38" s="18" t="inlineStr">
        <is>
          <t>P</t>
        </is>
      </c>
      <c r="C38" s="19" t="inlineStr">
        <is>
          <t>Insider conflicts of interest (side economics)</t>
        </is>
      </c>
      <c r="D38" s="19" t="inlineStr">
        <is>
          <t>Does any insider, or a company an insider controls, hold a royalty, stream, back-in right or option-payment claim on the project, or a service, drilling, geological consulting or office-rent contract with the company? Any yes = red flag unless disclosed and demonstrably arm's-length. This is what really drives management when it exists.</t>
        </is>
      </c>
      <c r="E38" s="19" t="inlineStr">
        <is>
          <t>Financial statements 'Related party transactions' note; technical report item 4 (royalties, encumbrances); vendor and option agreements filed on SEDAR+.</t>
        </is>
      </c>
      <c r="F38" s="19" t="inlineStr">
        <is>
          <t>Y/N</t>
        </is>
      </c>
      <c r="G38" s="18" t="inlineStr">
        <is>
          <t>All</t>
        </is>
      </c>
      <c r="H38" s="18" t="n">
        <v>2</v>
      </c>
      <c r="I38" s="19" t="inlineStr">
        <is>
          <t>Y = red flag</t>
        </is>
      </c>
      <c r="J38" s="18" t="inlineStr">
        <is>
          <t>R</t>
        </is>
      </c>
      <c r="K38" s="20" t="n"/>
      <c r="L38" s="21" t="n"/>
      <c r="M38" s="20" t="n"/>
      <c r="N38" s="20" t="n"/>
      <c r="O38" s="2">
        <f>IF(G38="All",1,IFERROR(MATCH(G38,{"G","D","R","S"},0)+1,1))</f>
        <v/>
      </c>
      <c r="P38" s="2">
        <f>IF($B$12="","",IF(O38&lt;=$B$12,"yes","no"))</f>
        <v/>
      </c>
    </row>
    <row r="39" ht="58" customHeight="1">
      <c r="A39" s="18" t="inlineStr">
        <is>
          <t>P-12</t>
        </is>
      </c>
      <c r="B39" s="18" t="inlineStr">
        <is>
          <t>P</t>
        </is>
      </c>
      <c r="C39" s="19" t="inlineStr">
        <is>
          <t>Related-party billings</t>
        </is>
      </c>
      <c r="D39" s="19" t="inlineStr">
        <is>
          <t>Amounts paid to insider-owned entities other than disclosed salaries (management-services agreements, rent, drilling, geology, admin fees) as % of G&amp;A. Below 5% = good; 5-15% = watch; above 15% = red flag. Shareholder loans from management at low cost are neutral to positive.</t>
        </is>
      </c>
      <c r="E39" s="19" t="inlineStr">
        <is>
          <t>Financial statements 'Related party transactions' note (IAS 24) and 'Key management compensation'; MD&amp;A related-party section.</t>
        </is>
      </c>
      <c r="F39" s="19" t="inlineStr">
        <is>
          <t>$ / % of G&amp;A</t>
        </is>
      </c>
      <c r="G39" s="18" t="inlineStr">
        <is>
          <t>All</t>
        </is>
      </c>
      <c r="H39" s="18" t="n">
        <v>1</v>
      </c>
      <c r="I39" s="19" t="inlineStr">
        <is>
          <t>Lower is better; &gt;15% = red flag</t>
        </is>
      </c>
      <c r="J39" s="18" t="inlineStr">
        <is>
          <t>R</t>
        </is>
      </c>
      <c r="K39" s="20" t="n"/>
      <c r="L39" s="21" t="n"/>
      <c r="M39" s="20" t="n"/>
      <c r="N39" s="20" t="n"/>
      <c r="O39" s="2">
        <f>IF(G39="All",1,IFERROR(MATCH(G39,{"G","D","R","S"},0)+1,1))</f>
        <v/>
      </c>
      <c r="P39" s="2">
        <f>IF($B$12="","",IF(O39&lt;=$B$12,"yes","no"))</f>
        <v/>
      </c>
    </row>
    <row r="40" ht="85" customHeight="1">
      <c r="A40" s="18" t="inlineStr">
        <is>
          <t>P-13</t>
        </is>
      </c>
      <c r="B40" s="18" t="inlineStr">
        <is>
          <t>P</t>
        </is>
      </c>
      <c r="C40" s="19" t="inlineStr">
        <is>
          <t>Management compensation</t>
        </is>
      </c>
      <c r="D40" s="19" t="inlineStr">
        <is>
          <t>Benchmarks for an explorer below C$30m market cap: CEO total cash at or below C$250-300k; cash compensation of all named executives at or below 15% of trailing-12-month spend and 10% of cash on hand. Red flags: a bonus paid in a year with no drilling; compensation routed through the CEO's private company (see P-11); bonuses tied to 'raising money'. Ask which KPIs bonuses are tied to (metres drilled, targets tested, financing at a premium); no answer = red flag.</t>
        </is>
      </c>
      <c r="E40" s="19" t="inlineStr">
        <is>
          <t>Management information circular 'Statement of executive compensation' (Form 51-102F6V); ASX remuneration report; AIM directors' remuneration note.</t>
        </is>
      </c>
      <c r="F40" s="19" t="inlineStr">
        <is>
          <t>$ and % of spend</t>
        </is>
      </c>
      <c r="G40" s="18" t="inlineStr">
        <is>
          <t>All</t>
        </is>
      </c>
      <c r="H40" s="18" t="n">
        <v>2</v>
      </c>
      <c r="I40" s="19" t="inlineStr">
        <is>
          <t>Lower is better; see red flags</t>
        </is>
      </c>
      <c r="J40" s="18" t="inlineStr">
        <is>
          <t>R</t>
        </is>
      </c>
      <c r="K40" s="20" t="n"/>
      <c r="L40" s="21" t="n"/>
      <c r="M40" s="20" t="n"/>
      <c r="N40" s="20" t="n"/>
      <c r="O40" s="2">
        <f>IF(G40="All",1,IFERROR(MATCH(G40,{"G","D","R","S"},0)+1,1))</f>
        <v/>
      </c>
      <c r="P40" s="2">
        <f>IF($B$12="","",IF(O40&lt;=$B$12,"yes","no"))</f>
        <v/>
      </c>
    </row>
    <row r="41" ht="98.5" customHeight="1">
      <c r="A41" s="18" t="inlineStr">
        <is>
          <t>P-14</t>
        </is>
      </c>
      <c r="B41" s="18" t="inlineStr">
        <is>
          <t>P</t>
        </is>
      </c>
      <c r="C41" s="19" t="inlineStr">
        <is>
          <t>Option and RSU plan</t>
        </is>
      </c>
      <c r="D41" s="19" t="inlineStr">
        <is>
          <t>Plan type: rolling 10% (annual approval) or fixed up to 20% (TSX-V Policy 4.4, covers options, RSUs, DSUs and PSUs); both are normal, though a fixed 20% locks in up to 20% dilution. Red flags: options and RSUs outstanding above 10% of basic shares; repricing or cancel-and-regrant in 5 years; grants within two weeks before material news; strike below market or below the last financing price at grant; no vesting. ASX: incentive schemes are approved under Listing Rule 7.2 Exception 13 (three-year approval) and director grants under Rule 10.14; read the remuneration report.</t>
        </is>
      </c>
      <c r="E41" s="19" t="inlineStr">
        <is>
          <t>Management information circular 'Securities authorised for issuance'; financial statements share-based compensation note.</t>
        </is>
      </c>
      <c r="F41" s="19" t="inlineStr">
        <is>
          <t>% of basic S/O</t>
        </is>
      </c>
      <c r="G41" s="18" t="inlineStr">
        <is>
          <t>All</t>
        </is>
      </c>
      <c r="H41" s="18" t="n">
        <v>2</v>
      </c>
      <c r="I41" s="19" t="inlineStr">
        <is>
          <t>Lower is better; see red flags</t>
        </is>
      </c>
      <c r="J41" s="18" t="inlineStr">
        <is>
          <t>R</t>
        </is>
      </c>
      <c r="K41" s="20" t="n"/>
      <c r="L41" s="21" t="n"/>
      <c r="M41" s="20" t="n"/>
      <c r="N41" s="20" t="n"/>
      <c r="O41" s="2">
        <f>IF(G41="All",1,IFERROR(MATCH(G41,{"G","D","R","S"},0)+1,1))</f>
        <v/>
      </c>
      <c r="P41" s="2">
        <f>IF($B$12="","",IF(O41&lt;=$B$12,"yes","no"))</f>
        <v/>
      </c>
    </row>
    <row r="42" ht="31" customHeight="1">
      <c r="A42" s="18" t="inlineStr">
        <is>
          <t>P-15</t>
        </is>
      </c>
      <c r="B42" s="18" t="inlineStr">
        <is>
          <t>P</t>
        </is>
      </c>
      <c r="C42" s="19" t="inlineStr">
        <is>
          <t>CEO base salary / VP Exploration base salary</t>
        </is>
      </c>
      <c r="D42" s="19" t="inlineStr">
        <is>
          <t>1.0-1.5x is normal for a discovery-stage explorer. 2.0x or more indicates a promotion-led company (red flag). Absolute salary benchmarks: see P-13.</t>
        </is>
      </c>
      <c r="E42" s="19" t="inlineStr">
        <is>
          <t>Management information circular compensation table.</t>
        </is>
      </c>
      <c r="F42" s="19" t="inlineStr">
        <is>
          <t>x</t>
        </is>
      </c>
      <c r="G42" s="18" t="inlineStr">
        <is>
          <t>All</t>
        </is>
      </c>
      <c r="H42" s="18" t="n">
        <v>2</v>
      </c>
      <c r="I42" s="19" t="inlineStr">
        <is>
          <t>Lower is better; &gt;=2x = red flag</t>
        </is>
      </c>
      <c r="J42" s="18" t="inlineStr">
        <is>
          <t>R</t>
        </is>
      </c>
      <c r="K42" s="20" t="n"/>
      <c r="L42" s="21" t="n"/>
      <c r="M42" s="20" t="n"/>
      <c r="N42" s="20" t="n"/>
      <c r="O42" s="2">
        <f>IF(G42="All",1,IFERROR(MATCH(G42,{"G","D","R","S"},0)+1,1))</f>
        <v/>
      </c>
      <c r="P42" s="2">
        <f>IF($B$12="","",IF(O42&lt;=$B$12,"yes","no"))</f>
        <v/>
      </c>
    </row>
    <row r="43" ht="98.5" customHeight="1">
      <c r="A43" s="18" t="inlineStr">
        <is>
          <t>P-16</t>
        </is>
      </c>
      <c r="B43" s="18" t="inlineStr">
        <is>
          <t>P</t>
        </is>
      </c>
      <c r="C43" s="19" t="inlineStr">
        <is>
          <t>Anchor ("titan") shareholder</t>
        </is>
      </c>
      <c r="D43" s="19" t="inlineStr">
        <is>
          <t>A recognised independent mining financier holding more than 5% bought with their own money (see 'Reference names' for a dated list). Verify, do not trust the slide: SEDAR+ early-warning reports (Canada, above 10%), ASX substantial-holder notices (above 5%), AIM Rule 26 significant-shareholder page (above 3%), lead orders named in the last two financing releases, current SEDI or Appendix 3Y filings. Founder or group principals whose own vehicle this is do not count as independent anchors. Check the holder is still active and still holds.</t>
        </is>
      </c>
      <c r="E43" s="19" t="inlineStr">
        <is>
          <t>SEDAR+ early-warning reports; financing news releases; SEDI; 'Reference names' list.</t>
        </is>
      </c>
      <c r="F43" s="19" t="inlineStr">
        <is>
          <t>Y/N</t>
        </is>
      </c>
      <c r="G43" s="18" t="inlineStr">
        <is>
          <t>All</t>
        </is>
      </c>
      <c r="H43" s="18" t="n">
        <v>2</v>
      </c>
      <c r="I43" s="19" t="inlineStr">
        <is>
          <t>Y (verified) = good</t>
        </is>
      </c>
      <c r="J43" s="18" t="inlineStr"/>
      <c r="K43" s="20" t="n"/>
      <c r="L43" s="21" t="n"/>
      <c r="M43" s="20" t="n"/>
      <c r="N43" s="20" t="n"/>
      <c r="O43" s="2">
        <f>IF(G43="All",1,IFERROR(MATCH(G43,{"G","D","R","S"},0)+1,1))</f>
        <v/>
      </c>
      <c r="P43" s="2">
        <f>IF($B$12="","",IF(O43&lt;=$B$12,"yes","no"))</f>
        <v/>
      </c>
    </row>
    <row r="44" ht="58" customHeight="1">
      <c r="A44" s="18" t="inlineStr">
        <is>
          <t>P-17</t>
        </is>
      </c>
      <c r="B44" s="18" t="inlineStr">
        <is>
          <t>P</t>
        </is>
      </c>
      <c r="C44" s="19" t="inlineStr">
        <is>
          <t>Specialist funds on the register</t>
        </is>
      </c>
      <c r="D44" s="19" t="inlineStr">
        <is>
          <t>Distinguish early-stage specialist funds (expected on an explorer's register) from development-stage private equity and lenders (rarely present before a resource) and from passive ETF holdings (index inclusion is not endorsement). See 'Reference names'. Verify as in P-16.</t>
        </is>
      </c>
      <c r="E44" s="19" t="inlineStr">
        <is>
          <t>Financing news releases; early-warning reports; fund websites; 'Reference names' list.</t>
        </is>
      </c>
      <c r="F44" s="19" t="inlineStr">
        <is>
          <t>Y/N</t>
        </is>
      </c>
      <c r="G44" s="18" t="inlineStr">
        <is>
          <t>All</t>
        </is>
      </c>
      <c r="H44" s="18" t="n">
        <v>3</v>
      </c>
      <c r="I44" s="19" t="inlineStr">
        <is>
          <t>Y (early-stage specialist, verified) = good</t>
        </is>
      </c>
      <c r="J44" s="18" t="inlineStr"/>
      <c r="K44" s="20" t="n"/>
      <c r="L44" s="21" t="n"/>
      <c r="M44" s="20" t="n"/>
      <c r="N44" s="20" t="n"/>
      <c r="O44" s="2">
        <f>IF(G44="All",1,IFERROR(MATCH(G44,{"G","D","R","S"},0)+1,1))</f>
        <v/>
      </c>
      <c r="P44" s="2">
        <f>IF($B$12="","",IF(O44&lt;=$B$12,"yes","no"))</f>
        <v/>
      </c>
    </row>
    <row r="45" ht="98.5" customHeight="1">
      <c r="A45" s="18" t="inlineStr">
        <is>
          <t>P-18</t>
        </is>
      </c>
      <c r="B45" s="18" t="inlineStr">
        <is>
          <t>P</t>
        </is>
      </c>
      <c r="C45" s="19" t="inlineStr">
        <is>
          <t>Sponsor group or incubator relationship</t>
        </is>
      </c>
      <c r="D45" s="19" t="inlineStr">
        <is>
          <t>Two opposite models hide under 'part of a group': (a) an anchor sponsor group that invests its own capital in every financing (favourable; verify in financing releases); (b) an incubator or company-builder that vended the project and services into the shell for cheap shares and cash. If (b): answer A-02, A-04 and P-11 for the incubator itself (shares issued at what price, cash and milestone payments owed, royalties retained, management-services fee). An incubator holding above 20% at a cost basis below 20% of the current price is an overhang.</t>
        </is>
      </c>
      <c r="E45" s="19" t="inlineStr">
        <is>
          <t>Financing news releases; financial statements related-party note; management information circular; 'Reference names' list.</t>
        </is>
      </c>
      <c r="F45" s="19" t="inlineStr">
        <is>
          <t>select</t>
        </is>
      </c>
      <c r="G45" s="18" t="inlineStr">
        <is>
          <t>All</t>
        </is>
      </c>
      <c r="H45" s="18" t="n">
        <v>2</v>
      </c>
      <c r="I45" s="19" t="inlineStr">
        <is>
          <t>Sponsor = good; incubator = apply vendor rows</t>
        </is>
      </c>
      <c r="J45" s="18" t="inlineStr"/>
      <c r="K45" s="20" t="n"/>
      <c r="L45" s="21" t="n"/>
      <c r="M45" s="20" t="n"/>
      <c r="N45" s="20" t="n"/>
      <c r="O45" s="2">
        <f>IF(G45="All",1,IFERROR(MATCH(G45,{"G","D","R","S"},0)+1,1))</f>
        <v/>
      </c>
      <c r="P45" s="2">
        <f>IF($B$12="","",IF(O45&lt;=$B$12,"yes","no"))</f>
        <v/>
      </c>
    </row>
    <row r="46" ht="58" customHeight="1">
      <c r="A46" s="18" t="inlineStr">
        <is>
          <t>P-19</t>
        </is>
      </c>
      <c r="B46" s="18" t="inlineStr">
        <is>
          <t>P</t>
        </is>
      </c>
      <c r="C46" s="19" t="inlineStr">
        <is>
          <t>Strategic or major shareholder</t>
        </is>
      </c>
      <c r="D46" s="19" t="inlineStr">
        <is>
          <t>A major or mid-tier holding equity or an option on the project signals a potentially large system verified by a competent technical team. Record the rights attached (right of first refusal, standstill, board seat, anti-dilution, offtake); a ROFR deters other bidders (X-09).</t>
        </is>
      </c>
      <c r="E46" s="19" t="inlineStr">
        <is>
          <t>News releases; investor-rights agreement on SEDAR+; early-warning reports.</t>
        </is>
      </c>
      <c r="F46" s="19" t="inlineStr">
        <is>
          <t>Y/N</t>
        </is>
      </c>
      <c r="G46" s="18" t="inlineStr">
        <is>
          <t>All</t>
        </is>
      </c>
      <c r="H46" s="18" t="n">
        <v>2</v>
      </c>
      <c r="I46" s="19" t="inlineStr">
        <is>
          <t>Y = good, note rights attached</t>
        </is>
      </c>
      <c r="J46" s="18" t="inlineStr"/>
      <c r="K46" s="20" t="n"/>
      <c r="L46" s="21" t="n"/>
      <c r="M46" s="20" t="n"/>
      <c r="N46" s="20" t="n"/>
      <c r="O46" s="2">
        <f>IF(G46="All",1,IFERROR(MATCH(G46,{"G","D","R","S"},0)+1,1))</f>
        <v/>
      </c>
      <c r="P46" s="2">
        <f>IF($B$12="","",IF(O46&lt;=$B$12,"yes","no"))</f>
        <v/>
      </c>
    </row>
    <row r="47" ht="44.5" customHeight="1">
      <c r="A47" s="18" t="inlineStr">
        <is>
          <t>P-20</t>
        </is>
      </c>
      <c r="B47" s="18" t="inlineStr">
        <is>
          <t>P</t>
        </is>
      </c>
      <c r="C47" s="19" t="inlineStr">
        <is>
          <t>Shareholder-registry strategy</t>
        </is>
      </c>
      <c r="D47" s="19" t="inlineStr">
        <is>
          <t>Can management state its target mix (retail, institutions, strategics, funds), which investor it wants, and how it attracts long-term holders? No strategy at all is a weak signal. Management-call question.</t>
        </is>
      </c>
      <c r="E47" s="19" t="inlineStr">
        <is>
          <t>Ask management (IR email, conference booth, investor call).</t>
        </is>
      </c>
      <c r="F47" s="19" t="inlineStr">
        <is>
          <t>text</t>
        </is>
      </c>
      <c r="G47" s="18" t="inlineStr">
        <is>
          <t>All</t>
        </is>
      </c>
      <c r="H47" s="18" t="n">
        <v>3</v>
      </c>
      <c r="I47" s="19" t="inlineStr">
        <is>
          <t>Info</t>
        </is>
      </c>
      <c r="J47" s="18" t="inlineStr"/>
      <c r="K47" s="20" t="n"/>
      <c r="L47" s="21" t="n"/>
      <c r="M47" s="20" t="n"/>
      <c r="N47" s="20" t="n"/>
      <c r="O47" s="2">
        <f>IF(G47="All",1,IFERROR(MATCH(G47,{"G","D","R","S"},0)+1,1))</f>
        <v/>
      </c>
      <c r="P47" s="2">
        <f>IF($B$12="","",IF(O47&lt;=$B$12,"yes","no"))</f>
        <v/>
      </c>
    </row>
    <row r="48" ht="71.5" customHeight="1">
      <c r="A48" s="18" t="inlineStr">
        <is>
          <t>P-21</t>
        </is>
      </c>
      <c r="B48" s="18" t="inlineStr">
        <is>
          <t>P</t>
        </is>
      </c>
      <c r="C48" s="19" t="inlineStr">
        <is>
          <t>Senior management and board turnover, last 24 months</t>
        </is>
      </c>
      <c r="D48" s="19" t="inlineStr">
        <is>
          <t>Count departures of the CEO, CFO, VP Exploration, directors and the auditor or QP, with the stated reason. One change with a reason is normal. Two or more unexplained departures, a VP Exploration or QP leaving during a drill programme or before assays, or a CFO leaving within 3 months of a year-end = red flag: ask what they saw.</t>
        </is>
      </c>
      <c r="E48" s="19" t="inlineStr">
        <is>
          <t>News releases 'appoints' / 'resigns'; SEDAR+ material change reports; management information circular director table (year first elected); SEDI insider-profile end dates.</t>
        </is>
      </c>
      <c r="F48" s="19" t="inlineStr">
        <is>
          <t># / text</t>
        </is>
      </c>
      <c r="G48" s="18" t="inlineStr">
        <is>
          <t>All</t>
        </is>
      </c>
      <c r="H48" s="18" t="n">
        <v>2</v>
      </c>
      <c r="I48" s="19" t="inlineStr">
        <is>
          <t>Lower is better; &gt;=2 unexplained = red flag</t>
        </is>
      </c>
      <c r="J48" s="18" t="inlineStr">
        <is>
          <t>R</t>
        </is>
      </c>
      <c r="K48" s="20" t="n"/>
      <c r="L48" s="21" t="n"/>
      <c r="M48" s="20" t="n"/>
      <c r="N48" s="20" t="n"/>
      <c r="O48" s="2">
        <f>IF(G48="All",1,IFERROR(MATCH(G48,{"G","D","R","S"},0)+1,1))</f>
        <v/>
      </c>
      <c r="P48" s="2">
        <f>IF($B$12="","",IF(O48&lt;=$B$12,"yes","no"))</f>
        <v/>
      </c>
    </row>
    <row r="49" ht="31" customHeight="1">
      <c r="A49" s="14" t="inlineStr">
        <is>
          <t>K</t>
        </is>
      </c>
      <c r="B49" s="15" t="inlineStr">
        <is>
          <t>K</t>
        </is>
      </c>
      <c r="C49" s="14" t="inlineStr">
        <is>
          <t>CAPITAL STRUCTURE, FINANCING &amp; LIQUIDITY</t>
        </is>
      </c>
      <c r="D49" s="16" t="inlineStr">
        <is>
          <t>The denominators every ratio needs, the paper coming free, and whether you can get out. All stages.</t>
        </is>
      </c>
      <c r="E49" s="17" t="n"/>
      <c r="F49" s="17" t="n"/>
      <c r="G49" s="17" t="n"/>
      <c r="H49" s="17" t="n"/>
      <c r="I49" s="17" t="n"/>
      <c r="J49" s="17" t="n"/>
      <c r="K49" s="17" t="n"/>
      <c r="L49" s="17" t="n"/>
      <c r="M49" s="17" t="n"/>
      <c r="N49" s="17" t="n"/>
      <c r="O49" s="17" t="n"/>
      <c r="P49" s="17" t="n"/>
    </row>
    <row r="50" ht="71.5" customHeight="1">
      <c r="A50" s="18" t="inlineStr">
        <is>
          <t>K-01</t>
        </is>
      </c>
      <c r="B50" s="18" t="inlineStr">
        <is>
          <t>K</t>
        </is>
      </c>
      <c r="C50" s="19" t="inlineStr">
        <is>
          <t>Shares outstanding: basic and fully diluted</t>
        </is>
      </c>
      <c r="D50" s="19" t="inlineStr">
        <is>
          <t>Basic shares from the MD&amp;A 'Outstanding share data' (mandatory, dated), plus any financing closed since. Fully diluted = basic + options (including RSUs and DSUs, the share units granted to staff and directors) + warrants + convertibles. Fully diluted / basic: below 1.2 comfortable; 1.2-1.4 watch; above 1.4 = more than 40% of the equity story already promised to others (red flag). US issuers: 10-K/10-Q cover page and equity note.</t>
        </is>
      </c>
      <c r="E50" s="19" t="inlineStr">
        <is>
          <t>MD&amp;A 'Outstanding share data'; financial statements share-capital note; ASX Appendix 2A/3B; AIM Rule 26 page.</t>
        </is>
      </c>
      <c r="F50" s="19" t="inlineStr">
        <is>
          <t>#m / #m</t>
        </is>
      </c>
      <c r="G50" s="18" t="inlineStr">
        <is>
          <t>All</t>
        </is>
      </c>
      <c r="H50" s="18" t="n">
        <v>1</v>
      </c>
      <c r="I50" s="19" t="inlineStr">
        <is>
          <t>FD/basic &gt;1.4 = red flag</t>
        </is>
      </c>
      <c r="J50" s="18" t="inlineStr">
        <is>
          <t>R</t>
        </is>
      </c>
      <c r="K50" s="20" t="n"/>
      <c r="L50" s="21" t="n"/>
      <c r="M50" s="20" t="n"/>
      <c r="N50" s="20" t="n"/>
      <c r="O50" s="2">
        <f>IF(G50="All",1,IFERROR(MATCH(G50,{"G","D","R","S"},0)+1,1))</f>
        <v/>
      </c>
      <c r="P50" s="2">
        <f>IF($B$12="","",IF(O50&lt;=$B$12,"yes","no"))</f>
        <v/>
      </c>
    </row>
    <row r="51" ht="71.5" customHeight="1">
      <c r="A51" s="18" t="inlineStr">
        <is>
          <t>K-02</t>
        </is>
      </c>
      <c r="B51" s="18" t="inlineStr">
        <is>
          <t>K</t>
        </is>
      </c>
      <c r="C51" s="19" t="inlineStr">
        <is>
          <t>Market capitalisation and enterprise value</t>
        </is>
      </c>
      <c r="D51" s="19" t="inlineStr">
        <is>
          <t>Market cap = price x basic shares (K-01); state the currency. Enterprise value (EV) = market cap + debt + committed vendor and option payments (A-02) - cash. Conservative check: use fully diluted shares but add the cash that in-the-money warrants and options would bring in; a fully diluted market cap without that exercise cash overstates EV. Compare EV, not market cap: a C$12m company with C$8m cash has an EV of C$4m.</t>
        </is>
      </c>
      <c r="E51" s="19" t="inlineStr">
        <is>
          <t>Price from home exchange; shares from K-01; cash, debt and commitments from the latest financial statements.</t>
        </is>
      </c>
      <c r="F51" s="19" t="inlineStr">
        <is>
          <t>m$</t>
        </is>
      </c>
      <c r="G51" s="18" t="inlineStr">
        <is>
          <t>All</t>
        </is>
      </c>
      <c r="H51" s="18" t="n">
        <v>1</v>
      </c>
      <c r="I51" s="19" t="inlineStr">
        <is>
          <t>Info; feeds K-03, K-04, V-04</t>
        </is>
      </c>
      <c r="J51" s="18" t="inlineStr"/>
      <c r="K51" s="20" t="n"/>
      <c r="L51" s="21" t="n"/>
      <c r="M51" s="20" t="n"/>
      <c r="N51" s="20" t="n"/>
      <c r="O51" s="2">
        <f>IF(G51="All",1,IFERROR(MATCH(G51,{"G","D","R","S"},0)+1,1))</f>
        <v/>
      </c>
      <c r="P51" s="2">
        <f>IF($B$12="","",IF(O51&lt;=$B$12,"yes","no"))</f>
        <v/>
      </c>
    </row>
    <row r="52" ht="98.5" customHeight="1">
      <c r="A52" s="18" t="inlineStr">
        <is>
          <t>K-03</t>
        </is>
      </c>
      <c r="B52" s="18" t="inlineStr">
        <is>
          <t>K</t>
        </is>
      </c>
      <c r="C52" s="19" t="inlineStr">
        <is>
          <t>Valuation bands (dated: 2025-26 cycle, recalibrate yearly)</t>
        </is>
      </c>
      <c r="D52" s="19" t="inlineStr">
        <is>
          <t>Market-cycle-linked: recalibrate yearly against the TSX-V mining index. Greenfield, drill-ready: EV below US$15-20m with cash covering the next programme plus 12 months of G&amp;A (F-07) is a cheap entry; EV below US$10m with under US$2m cash means the next financing dilutes 20-40%, so wait for it. Results stage (EV US$10-50m): has drilling produced a hole of at least 50 GT (D-02)? If not, why the premium? EV above US$75-100m is justified only by tier-one intercepts or a resource. District-scale or porphyry stories (S-06, G-01) need cash for two full programmes or a funded partner, whatever the EV.</t>
        </is>
      </c>
      <c r="E52" s="19" t="inlineStr">
        <is>
          <t>K-02; F-01; D-02.</t>
        </is>
      </c>
      <c r="F52" s="19" t="inlineStr">
        <is>
          <t>m$</t>
        </is>
      </c>
      <c r="G52" s="18" t="inlineStr">
        <is>
          <t>All</t>
        </is>
      </c>
      <c r="H52" s="18" t="n">
        <v>2</v>
      </c>
      <c r="I52" s="19" t="inlineStr">
        <is>
          <t>Lower EV for the stage is better; see bands</t>
        </is>
      </c>
      <c r="J52" s="18" t="inlineStr"/>
      <c r="K52" s="20" t="n"/>
      <c r="L52" s="21" t="n"/>
      <c r="M52" s="20" t="n"/>
      <c r="N52" s="20" t="n"/>
      <c r="O52" s="2">
        <f>IF(G52="All",1,IFERROR(MATCH(G52,{"G","D","R","S"},0)+1,1))</f>
        <v/>
      </c>
      <c r="P52" s="2">
        <f>IF($B$12="","",IF(O52&lt;=$B$12,"yes","no"))</f>
        <v/>
      </c>
    </row>
    <row r="53" ht="58" customHeight="1">
      <c r="A53" s="18" t="inlineStr">
        <is>
          <t>K-04</t>
        </is>
      </c>
      <c r="B53" s="18" t="inlineStr">
        <is>
          <t>K</t>
        </is>
      </c>
      <c r="C53" s="19" t="inlineStr">
        <is>
          <t>EV per resource ounce (resource stage)</t>
        </is>
      </c>
      <c r="D53" s="19" t="inlineStr">
        <is>
          <t>EV / (M&amp;I ounces + 0.5 x Inferred ounces). Compare against five peers of the same stage, commodity and jurisdiction, recalibrated each quarter. Illustrative 2025-26 gold: Inferred-only juniors ~US$10-40/oz; M&amp;I with a PEA ~US$40-100/oz; above US$150/oz needs tier-one grade or a bidder. Scale ounces by attributable interest (J-05).</t>
        </is>
      </c>
      <c r="E53" s="19" t="inlineStr">
        <is>
          <t>K-02; R-01; peer filings.</t>
        </is>
      </c>
      <c r="F53" s="19" t="inlineStr">
        <is>
          <t>$/oz</t>
        </is>
      </c>
      <c r="G53" s="18" t="inlineStr">
        <is>
          <t>R</t>
        </is>
      </c>
      <c r="H53" s="18" t="n">
        <v>2</v>
      </c>
      <c r="I53" s="19" t="inlineStr">
        <is>
          <t>Lower is better relative to peers</t>
        </is>
      </c>
      <c r="J53" s="18" t="inlineStr"/>
      <c r="K53" s="20" t="n"/>
      <c r="L53" s="21" t="n"/>
      <c r="M53" s="20" t="n"/>
      <c r="N53" s="20" t="n"/>
      <c r="O53" s="2">
        <f>IF(G53="All",1,IFERROR(MATCH(G53,{"G","D","R","S"},0)+1,1))</f>
        <v/>
      </c>
      <c r="P53" s="2">
        <f>IF($B$12="","",IF(O53&lt;=$B$12,"yes","no"))</f>
        <v/>
      </c>
    </row>
    <row r="54" ht="85" customHeight="1">
      <c r="A54" s="18" t="inlineStr">
        <is>
          <t>K-05</t>
        </is>
      </c>
      <c r="B54" s="18" t="inlineStr">
        <is>
          <t>K</t>
        </is>
      </c>
      <c r="C54" s="19" t="inlineStr">
        <is>
          <t>Peer table built</t>
        </is>
      </c>
      <c r="D54" s="19" t="inlineStr">
        <is>
          <t>Five comparables (EV, stage, ounces, grade, cash, jurisdiction). If the company is the cheapest of the group, ask why; if the dearest, ask what justifies it.</t>
        </is>
      </c>
      <c r="E54" s="19" t="inlineStr">
        <is>
          <t>Peer MD&amp;As and technical reports (SEDAR+, ASX announcements); comparable tables in company decks (selected to flatter; verify); S&amp;P Global Market Intelligence or Mining Intelligence (paid); Mining.com and newsletter peer tables for candidate names.</t>
        </is>
      </c>
      <c r="F54" s="19" t="inlineStr">
        <is>
          <t>Y/N</t>
        </is>
      </c>
      <c r="G54" s="18" t="inlineStr">
        <is>
          <t>D</t>
        </is>
      </c>
      <c r="H54" s="18" t="n">
        <v>3</v>
      </c>
      <c r="I54" s="19" t="inlineStr">
        <is>
          <t>Y = good</t>
        </is>
      </c>
      <c r="J54" s="18" t="inlineStr"/>
      <c r="K54" s="20" t="n"/>
      <c r="L54" s="21" t="n"/>
      <c r="M54" s="20" t="n"/>
      <c r="N54" s="20" t="n"/>
      <c r="O54" s="2">
        <f>IF(G54="All",1,IFERROR(MATCH(G54,{"G","D","R","S"},0)+1,1))</f>
        <v/>
      </c>
      <c r="P54" s="2">
        <f>IF($B$12="","",IF(O54&lt;=$B$12,"yes","no"))</f>
        <v/>
      </c>
    </row>
    <row r="55" ht="98.5" customHeight="1">
      <c r="A55" s="18" t="inlineStr">
        <is>
          <t>K-06</t>
        </is>
      </c>
      <c r="B55" s="18" t="inlineStr">
        <is>
          <t>K</t>
        </is>
      </c>
      <c r="C55" s="19" t="inlineStr">
        <is>
          <t>Liquidity and free float</t>
        </is>
      </c>
      <c r="D55" s="19" t="inlineStr">
        <is>
          <t>Three-month average daily traded value on the home exchange; free float (basic shares less insiders, strategics and escrowed shares); bid-ask spread. Rules: above C$100k/day = comfortable; keep the position below 20% of average daily value x 5 days so it can be sold in a week; daily value below C$25k or free float below 30% = illiquid, expect gaps on news; spread above 5% = red flag (allow tick-size effects below C$0.10: the TSX-V tick is C$0.005). If most volume trades on Frankfurt or OTC rather than the home exchange, a promotion is usually running there (M-02).</t>
        </is>
      </c>
      <c r="E55" s="19" t="inlineStr">
        <is>
          <t>Home-exchange quote page (money.tmx.com, thecse.com, asx.com.au; free) or Stockwatch; volume by venue on boerse-frankfurt.de and otcmarkets.com; free float from the management information circular principal holders and escrow filings (K-09).</t>
        </is>
      </c>
      <c r="F55" s="19" t="inlineStr">
        <is>
          <t>$/day, %</t>
        </is>
      </c>
      <c r="G55" s="18" t="inlineStr">
        <is>
          <t>All</t>
        </is>
      </c>
      <c r="H55" s="18" t="n">
        <v>1</v>
      </c>
      <c r="I55" s="19" t="inlineStr">
        <is>
          <t>Higher is better; &lt;C$25k/day, free float &lt;30% or spread &gt;5% = red flag; &gt;C$100k/day = good</t>
        </is>
      </c>
      <c r="J55" s="18" t="inlineStr">
        <is>
          <t>R</t>
        </is>
      </c>
      <c r="K55" s="20" t="n"/>
      <c r="L55" s="21" t="n"/>
      <c r="M55" s="20" t="n"/>
      <c r="N55" s="20" t="n"/>
      <c r="O55" s="2">
        <f>IF(G55="All",1,IFERROR(MATCH(G55,{"G","D","R","S"},0)+1,1))</f>
        <v/>
      </c>
      <c r="P55" s="2">
        <f>IF($B$12="","",IF(O55&lt;=$B$12,"yes","no"))</f>
        <v/>
      </c>
    </row>
    <row r="56" ht="152.5" customHeight="1">
      <c r="A56" s="18" t="inlineStr">
        <is>
          <t>K-07</t>
        </is>
      </c>
      <c r="B56" s="18" t="inlineStr">
        <is>
          <t>K</t>
        </is>
      </c>
      <c r="C56" s="19" t="inlineStr">
        <is>
          <t>German quote quality (if you trade in Germany)</t>
        </is>
      </c>
      <c r="D56" s="19" t="inlineStr">
        <is>
          <t>Frankfurt, Tradegate and Stuttgart quotes are market-maker mirrors without an order book of their own. Check: (1) ISIN/WKN identical to the home-exchange security (not a pre-consolidation ISIN); (2) last trade date on the German venue (older than 2 trading days = treat as untradeable); (3) EUR spread versus home spread (above 5% = buy only with limit orders at home quote x FX); (4) EUR quote versus home quote x FX (deviation above 3% = stale); (5) can the broker route to TSX-V/CSE/ASX? If not, size the position below one day of German volume; (6) TSX-V and CSE open at 15:30 German time (14:30 or 16:30 for a few weeks around the March and October/November clock changes) and Canadian news is typically released 13:00-15:00 German time: never trade before the home open on a news day, and check for a home-exchange halt (CIRO halt notices) before trading in Germany. ASX news is released during the German night and is already in the price when Germany opens.</t>
        </is>
      </c>
      <c r="E56" s="19" t="inlineStr">
        <is>
          <t>Broker platform; boerse-frankfurt.de; tradegate.de; home-exchange quote (money.tmx.com, thecse.com, asx.com.au); CIRO halt and resumption notices (ciro.ca); ASX announcements.</t>
        </is>
      </c>
      <c r="F56" s="19" t="inlineStr">
        <is>
          <t>checklist</t>
        </is>
      </c>
      <c r="G56" s="18" t="inlineStr">
        <is>
          <t>All</t>
        </is>
      </c>
      <c r="H56" s="18" t="n">
        <v>2</v>
      </c>
      <c r="I56" s="19" t="inlineStr">
        <is>
          <t>All six pass = good</t>
        </is>
      </c>
      <c r="J56" s="18" t="inlineStr"/>
      <c r="K56" s="20" t="n"/>
      <c r="L56" s="21" t="n"/>
      <c r="M56" s="20" t="n"/>
      <c r="N56" s="20" t="n"/>
      <c r="O56" s="2">
        <f>IF(G56="All",1,IFERROR(MATCH(G56,{"G","D","R","S"},0)+1,1))</f>
        <v/>
      </c>
      <c r="P56" s="2">
        <f>IF($B$12="","",IF(O56&lt;=$B$12,"yes","no"))</f>
        <v/>
      </c>
    </row>
    <row r="57" ht="112" customHeight="1">
      <c r="A57" s="18" t="inlineStr">
        <is>
          <t>K-08</t>
        </is>
      </c>
      <c r="B57" s="18" t="inlineStr">
        <is>
          <t>K</t>
        </is>
      </c>
      <c r="C57" s="19" t="inlineStr">
        <is>
          <t>Warrant and option overhang</t>
        </is>
      </c>
      <c r="D57" s="19" t="inlineStr">
        <is>
          <t>Dilutive overhang = (warrants + options + RSUs and DSUs (share units granted to staff and directors) + broker or finder warrants) / basic shares. Below 20% comfortable; 20-40% watch; above 40% = red flag (financings had to be sweetened, i.e. weak demand). List every tranche with strike and expiry. Report the in-the-money portion at the current price: in-the-money warrants above 20% of basic shares = selling pressure on rallies and imminent dilution; out-of-the-money warrants expiring within 6-12 months = expect a repricing or extension request (TSX-V Policy 4.1 allows both, with limits). No warrants is always better (no overhang, no warrant clipping).</t>
        </is>
      </c>
      <c r="E57" s="19" t="inlineStr">
        <is>
          <t>MD&amp;A 'Outstanding share data'; financial statements share-capital and warrant notes.</t>
        </is>
      </c>
      <c r="F57" s="19" t="inlineStr">
        <is>
          <t>%</t>
        </is>
      </c>
      <c r="G57" s="18" t="inlineStr">
        <is>
          <t>All</t>
        </is>
      </c>
      <c r="H57" s="18" t="n">
        <v>1</v>
      </c>
      <c r="I57" s="19" t="inlineStr">
        <is>
          <t>Lower is better; &gt;40% = red flag</t>
        </is>
      </c>
      <c r="J57" s="18" t="inlineStr">
        <is>
          <t>R</t>
        </is>
      </c>
      <c r="K57" s="20" t="n"/>
      <c r="L57" s="21" t="n"/>
      <c r="M57" s="20" t="n"/>
      <c r="N57" s="20" t="n"/>
      <c r="O57" s="2">
        <f>IF(G57="All",1,IFERROR(MATCH(G57,{"G","D","R","S"},0)+1,1))</f>
        <v/>
      </c>
      <c r="P57" s="2">
        <f>IF($B$12="","",IF(O57&lt;=$B$12,"yes","no"))</f>
        <v/>
      </c>
    </row>
    <row r="58" ht="112" customHeight="1">
      <c r="A58" s="18" t="inlineStr">
        <is>
          <t>K-09</t>
        </is>
      </c>
      <c r="B58" s="18" t="inlineStr">
        <is>
          <t>K</t>
        </is>
      </c>
      <c r="C58" s="19" t="inlineStr">
        <is>
          <t>Escrow, lock-ups and hold-period releases</t>
        </is>
      </c>
      <c r="D58" s="19" t="inlineStr">
        <is>
          <t>Escrowed shares (# and % of basic shares) and their release dates: TSX-V Policy 5.4 releases principal and vendor shares over 18 months (TSX-V Tier 1 issuers) or 36 months (TSX-V Tier 2 issuers); ASX escrows seed and vendor shares 12-24 months (Listing Rules chapter 9). Private-placement and flow-through shares become free-trading 4 months + 1 day after closing (Canada, NI 45-102); LIFE and prospectus shares have no hold; US Rule 144 shares 6-12 months. List the expiry of the last two placements. More than 10% of shares freeing up within 6 months without a drilling catalyst = expect selling pressure (red flag). Watch vendor and flow-through paper most, principals' escrow least.</t>
        </is>
      </c>
      <c r="E58" s="19" t="inlineStr">
        <is>
          <t>Escrow agreement, prospectus or filing statement on SEDAR+ (search 'escrow'); AIF 'Escrowed securities' table (if the company files one); TSX-V bulletins; ASX Appendix 2A and 'release from escrow' announcements; placement closing news releases (date + 4 months + 1 day).</t>
        </is>
      </c>
      <c r="F58" s="19" t="inlineStr">
        <is>
          <t>%, dates</t>
        </is>
      </c>
      <c r="G58" s="18" t="inlineStr">
        <is>
          <t>All</t>
        </is>
      </c>
      <c r="H58" s="18" t="n">
        <v>2</v>
      </c>
      <c r="I58" s="19" t="inlineStr">
        <is>
          <t>Lower near-term release is better; &gt;10% in 6 months = red flag</t>
        </is>
      </c>
      <c r="J58" s="18" t="inlineStr">
        <is>
          <t>R</t>
        </is>
      </c>
      <c r="K58" s="20" t="n"/>
      <c r="L58" s="21" t="n"/>
      <c r="M58" s="20" t="n"/>
      <c r="N58" s="20" t="n"/>
      <c r="O58" s="2">
        <f>IF(G58="All",1,IFERROR(MATCH(G58,{"G","D","R","S"},0)+1,1))</f>
        <v/>
      </c>
      <c r="P58" s="2">
        <f>IF($B$12="","",IF(O58&lt;=$B$12,"yes","no"))</f>
        <v/>
      </c>
    </row>
    <row r="59" ht="193" customHeight="1">
      <c r="A59" s="18" t="inlineStr">
        <is>
          <t>K-10</t>
        </is>
      </c>
      <c r="B59" s="18" t="inlineStr">
        <is>
          <t>K</t>
        </is>
      </c>
      <c r="C59" s="19" t="inlineStr">
        <is>
          <t>Financing history (last three financings)</t>
        </is>
      </c>
      <c r="D59" s="19" t="inlineStr">
        <is>
          <t>Record per financing: date, price, size, unit structure (full or half warrant, term, strike premium), discount to the 5-day VWAP (or to the last close, the TSX-V 'Market Price'), brokered / non-brokered / LIFE / prospectus, finder fee %, insider take-up %, use of proceeds stated versus spent (MD&amp;A). Rules of thumb: three or more raises in 24 months without a discovery = hand-to-mouth (raising at higher prices after results is fine); insiders below 5% of a round = weak alignment (scored in P-09); finder fees above 8% plus broker warrants = expensive money; a full 5-year warrant at a small premium every time = weak demand. Terms: full warrant = one warrant per unit (5 years is the TSX-V maximum); TSX-V allows discounts up to 25% below C$0.50, 20% to C$2.00, 15% above; LIFE and prospectus shares are free-trading immediately. ASX placements (Listing Rule 7.1, 15% capacity plus 10% under 7.1A) carry no hold period; a share purchase plan after a placement lets retail follow at the same price. A base shelf prospectus with an at-the-market (ATM) programme sells shares into the market day by day and caps rallies (red flag at exploration stage).</t>
        </is>
      </c>
      <c r="E59" s="19" t="inlineStr">
        <is>
          <t>Placement news releases; MD&amp;A financing table; financial statements share-capital note.</t>
        </is>
      </c>
      <c r="F59" s="19" t="inlineStr">
        <is>
          <t>table</t>
        </is>
      </c>
      <c r="G59" s="18" t="inlineStr">
        <is>
          <t>All</t>
        </is>
      </c>
      <c r="H59" s="18" t="n">
        <v>2</v>
      </c>
      <c r="I59" s="19" t="inlineStr">
        <is>
          <t>3+ raises in 24 months without a discovery, finder fee &gt;8% plus broker warrants, or a full 5-year warrant at a small premium every time = red flag (insider take-up is scored in P-09)</t>
        </is>
      </c>
      <c r="J59" s="18" t="inlineStr">
        <is>
          <t>R</t>
        </is>
      </c>
      <c r="K59" s="20" t="n"/>
      <c r="L59" s="21" t="n"/>
      <c r="M59" s="20" t="n"/>
      <c r="N59" s="20" t="n"/>
      <c r="O59" s="2">
        <f>IF(G59="All",1,IFERROR(MATCH(G59,{"G","D","R","S"},0)+1,1))</f>
        <v/>
      </c>
      <c r="P59" s="2">
        <f>IF($B$12="","",IF(O59&lt;=$B$12,"yes","no"))</f>
        <v/>
      </c>
    </row>
    <row r="60" ht="112" customHeight="1">
      <c r="A60" s="18" t="inlineStr">
        <is>
          <t>K-11</t>
        </is>
      </c>
      <c r="B60" s="18" t="inlineStr">
        <is>
          <t>K</t>
        </is>
      </c>
      <c r="C60" s="19" t="inlineStr">
        <is>
          <t>Post-financing trading behaviour (strong-hands test)</t>
        </is>
      </c>
      <c r="D60" s="19" t="inlineStr">
        <is>
          <t>For each of the last three Canadian private placements, compare average daily volume and price in the two weeks after the hold period expires (closing date + 4 months + 1 day; for LIFE and prospectus offerings use the closing date) with the two weeks before. Volume above 3x with price down more than 15% = the placees were flippers (often charity flow-through or fee-driven brokers); flat volume = long-term holders. Check SEDI for insider sales in the same window. ASX and AIM placement shares are generally free immediately, so use the placement date instead. Read volume from the home exchange, not the German tape (K-07).</t>
        </is>
      </c>
      <c r="E60" s="19" t="inlineStr">
        <is>
          <t>Closing news releases for dates; price and volume chart (Stockwatch, TradingView); SEDI.</t>
        </is>
      </c>
      <c r="F60" s="19" t="inlineStr">
        <is>
          <t>volume x / % price</t>
        </is>
      </c>
      <c r="G60" s="18" t="inlineStr">
        <is>
          <t>All</t>
        </is>
      </c>
      <c r="H60" s="18" t="n">
        <v>1</v>
      </c>
      <c r="I60" s="19" t="inlineStr">
        <is>
          <t>Flat volume = good; spike + drop = red flag</t>
        </is>
      </c>
      <c r="J60" s="18" t="inlineStr">
        <is>
          <t>R</t>
        </is>
      </c>
      <c r="K60" s="20" t="n"/>
      <c r="L60" s="21" t="n"/>
      <c r="M60" s="20" t="n"/>
      <c r="N60" s="20" t="n"/>
      <c r="O60" s="2">
        <f>IF(G60="All",1,IFERROR(MATCH(G60,{"G","D","R","S"},0)+1,1))</f>
        <v/>
      </c>
      <c r="P60" s="2">
        <f>IF($B$12="","",IF(O60&lt;=$B$12,"yes","no"))</f>
        <v/>
      </c>
    </row>
    <row r="61" ht="112" customHeight="1">
      <c r="A61" s="18" t="inlineStr">
        <is>
          <t>K-12</t>
        </is>
      </c>
      <c r="B61" s="18" t="inlineStr">
        <is>
          <t>K</t>
        </is>
      </c>
      <c r="C61" s="19" t="inlineStr">
        <is>
          <t>Last financing price versus current price</t>
        </is>
      </c>
      <c r="D61" s="19" t="inlineStr">
        <is>
          <t>If the current price is below the last placement price (hard-dollar price, not the flow-through price, K-13), placees are under water and a discounted round is likely. A down round is an attractive entry only if (a) the cause is sector-wide, not company-specific (failed drilling, permit loss, management exit), (b) insiders took cash paper in it (P-09), and (c) the discount to the 5-day VWAP was under 20% (same basis as K-10) with warrant coverage at or below 50% (a half warrant or less per unit); otherwise it confirms the K-10/K-11 red flags. Buying at or below the last placement price puts the buyer ahead of placees who hold warrants; buying above it does not.</t>
        </is>
      </c>
      <c r="E61" s="19" t="inlineStr">
        <is>
          <t>Placement news releases; home-exchange price history.</t>
        </is>
      </c>
      <c r="F61" s="19" t="inlineStr">
        <is>
          <t>% vs last placement price</t>
        </is>
      </c>
      <c r="G61" s="18" t="inlineStr">
        <is>
          <t>All</t>
        </is>
      </c>
      <c r="H61" s="18" t="n">
        <v>1</v>
      </c>
      <c r="I61" s="19" t="inlineStr">
        <is>
          <t>Info; see conditions</t>
        </is>
      </c>
      <c r="J61" s="18" t="inlineStr"/>
      <c r="K61" s="20" t="n"/>
      <c r="L61" s="21" t="n"/>
      <c r="M61" s="20" t="n"/>
      <c r="N61" s="20" t="n"/>
      <c r="O61" s="2">
        <f>IF(G61="All",1,IFERROR(MATCH(G61,{"G","D","R","S"},0)+1,1))</f>
        <v/>
      </c>
      <c r="P61" s="2">
        <f>IF($B$12="","",IF(O61&lt;=$B$12,"yes","no"))</f>
        <v/>
      </c>
    </row>
    <row r="62" ht="112" customHeight="1">
      <c r="A62" s="18" t="inlineStr">
        <is>
          <t>K-13</t>
        </is>
      </c>
      <c r="B62" s="18" t="inlineStr">
        <is>
          <t>K</t>
        </is>
      </c>
      <c r="C62" s="19" t="inlineStr">
        <is>
          <t>Flow-through structure and placement access (Canadian projects)</t>
        </is>
      </c>
      <c r="D62" s="19" t="inlineStr">
        <is>
          <t>Flow-through shares exist only for Canadian exploration spend and benefit Canadian taxpayers; a non-Canadian buyer gets the dilution and none of the deduction. They are priced at a premium (often 10-30%) to market because of the tax benefit: do not read that premium as demand, and use the hard-dollar price in K-12. Charity or arranged flow-through (look for 'charity arrangement' or 'liquidity provider' in the release) means the end holders sell at the hold expiry (K-11). More generally, rows K-08 to K-12 describe who is being favoured over secondary-market buyers: a German retail investor can rarely join placements or hold unit warrants, so do not pay up in the market to 'get involved'.</t>
        </is>
      </c>
      <c r="E62" s="19" t="inlineStr">
        <is>
          <t>Placement news releases.</t>
        </is>
      </c>
      <c r="F62" s="19" t="inlineStr">
        <is>
          <t>Y/N</t>
        </is>
      </c>
      <c r="G62" s="18" t="inlineStr">
        <is>
          <t>All</t>
        </is>
      </c>
      <c r="H62" s="18" t="n">
        <v>3</v>
      </c>
      <c r="I62" s="19" t="inlineStr">
        <is>
          <t>Charity flow-through = expect selling at hold expiry</t>
        </is>
      </c>
      <c r="J62" s="18" t="inlineStr"/>
      <c r="K62" s="20" t="n"/>
      <c r="L62" s="21" t="n"/>
      <c r="M62" s="20" t="n"/>
      <c r="N62" s="20" t="n"/>
      <c r="O62" s="2">
        <f>IF(G62="All",1,IFERROR(MATCH(G62,{"G","D","R","S"},0)+1,1))</f>
        <v/>
      </c>
      <c r="P62" s="2">
        <f>IF($B$12="","",IF(O62&lt;=$B$12,"yes","no"))</f>
        <v/>
      </c>
    </row>
    <row r="63" ht="71.5" customHeight="1">
      <c r="A63" s="18" t="inlineStr">
        <is>
          <t>K-14</t>
        </is>
      </c>
      <c r="B63" s="18" t="inlineStr">
        <is>
          <t>K</t>
        </is>
      </c>
      <c r="C63" s="19" t="inlineStr">
        <is>
          <t>Share count growth and issuance price series</t>
        </is>
      </c>
      <c r="D63" s="19" t="inlineStr">
        <is>
          <t>Basic shares outstanding now versus 3 years ago (adjusted for consolidations, C-08), as % p.a.; and the price of each issuance from the share-capital note. Rule of thumb: below 10% p.a. = disciplined; 10-25% = normal for an active explorer; above 25% p.a. without a discovery = serial diluter (red flag). A rising price series across rounds is what to look for; a falling one confirms K-10 and K-12.</t>
        </is>
      </c>
      <c r="E63" s="19" t="inlineStr">
        <is>
          <t>Financial statements share-capital note (lists every issuance with price); MD&amp;A 'Outstanding share data' from the statements 3 years apart.</t>
        </is>
      </c>
      <c r="F63" s="19" t="inlineStr">
        <is>
          <t>% p.a.</t>
        </is>
      </c>
      <c r="G63" s="18" t="inlineStr">
        <is>
          <t>All</t>
        </is>
      </c>
      <c r="H63" s="18" t="n">
        <v>2</v>
      </c>
      <c r="I63" s="19" t="inlineStr">
        <is>
          <t>Lower is better; &gt;25% p.a. without a discovery = red flag</t>
        </is>
      </c>
      <c r="J63" s="18" t="inlineStr">
        <is>
          <t>R</t>
        </is>
      </c>
      <c r="K63" s="20" t="n"/>
      <c r="L63" s="21" t="n"/>
      <c r="M63" s="20" t="n"/>
      <c r="N63" s="20" t="n"/>
      <c r="O63" s="2">
        <f>IF(G63="All",1,IFERROR(MATCH(G63,{"G","D","R","S"},0)+1,1))</f>
        <v/>
      </c>
      <c r="P63" s="2">
        <f>IF($B$12="","",IF(O63&lt;=$B$12,"yes","no"))</f>
        <v/>
      </c>
    </row>
    <row r="64" ht="31" customHeight="1">
      <c r="A64" s="14" t="inlineStr">
        <is>
          <t>F</t>
        </is>
      </c>
      <c r="B64" s="15" t="inlineStr">
        <is>
          <t>F</t>
        </is>
      </c>
      <c r="C64" s="14" t="inlineStr">
        <is>
          <t>FINANCIAL POSITION &amp; SPENDING DISCIPLINE</t>
        </is>
      </c>
      <c r="D64" s="16" t="inlineStr">
        <is>
          <t>Does the money go into the ground, and how long does it last. All stages.</t>
        </is>
      </c>
      <c r="E64" s="17" t="n"/>
      <c r="F64" s="17" t="n"/>
      <c r="G64" s="17" t="n"/>
      <c r="H64" s="17" t="n"/>
      <c r="I64" s="17" t="n"/>
      <c r="J64" s="17" t="n"/>
      <c r="K64" s="17" t="n"/>
      <c r="L64" s="17" t="n"/>
      <c r="M64" s="17" t="n"/>
      <c r="N64" s="17" t="n"/>
      <c r="O64" s="17" t="n"/>
      <c r="P64" s="17" t="n"/>
    </row>
    <row r="65" ht="112" customHeight="1">
      <c r="A65" s="18" t="inlineStr">
        <is>
          <t>F-01</t>
        </is>
      </c>
      <c r="B65" s="18" t="inlineStr">
        <is>
          <t>F</t>
        </is>
      </c>
      <c r="C65" s="19" t="inlineStr">
        <is>
          <t>Working capital (dated)</t>
        </is>
      </c>
      <c r="D65" s="19" t="inlineStr">
        <is>
          <t>Working capital = current assets (cash, equivalents, receivables) minus current liabilities, from the latest quarterly balance sheet and MD&amp;A 'Liquidity and capital resources', with its statement date. Adjust for months elapsed since that date x monthly burn (F-02 plus exploration) and for any announced programme not yet spent. Haircut marketable securities held in other juniors. Flow-through cash is restricted to eligible Canadian exploration and cannot fund G&amp;A: note the unspent flow-through balance separately (FS note on flow-through commitments). Vendor and option payments due within 12 months are deducted in F-03 (A-02), not here. Do not use 'cash' from the corporate deck.</t>
        </is>
      </c>
      <c r="E65" s="19" t="inlineStr">
        <is>
          <t>Latest quarterly financial statements and MD&amp;A 'Liquidity and capital resources'.</t>
        </is>
      </c>
      <c r="F65" s="19" t="inlineStr">
        <is>
          <t>m$ + date</t>
        </is>
      </c>
      <c r="G65" s="18" t="inlineStr">
        <is>
          <t>All</t>
        </is>
      </c>
      <c r="H65" s="18" t="n">
        <v>1</v>
      </c>
      <c r="I65" s="19" t="inlineStr">
        <is>
          <t>Higher is better</t>
        </is>
      </c>
      <c r="J65" s="18" t="inlineStr"/>
      <c r="K65" s="20" t="n"/>
      <c r="L65" s="21" t="n"/>
      <c r="M65" s="20" t="n"/>
      <c r="N65" s="20" t="n"/>
      <c r="O65" s="2">
        <f>IF(G65="All",1,IFERROR(MATCH(G65,{"G","D","R","S"},0)+1,1))</f>
        <v/>
      </c>
      <c r="P65" s="2">
        <f>IF($B$12="","",IF(O65&lt;=$B$12,"yes","no"))</f>
        <v/>
      </c>
    </row>
    <row r="66" ht="71.5" customHeight="1">
      <c r="A66" s="18" t="inlineStr">
        <is>
          <t>F-02</t>
        </is>
      </c>
      <c r="B66" s="18" t="inlineStr">
        <is>
          <t>F</t>
        </is>
      </c>
      <c r="C66" s="19" t="inlineStr">
        <is>
          <t>G&amp;A cash burn (trailing 12 months)</t>
        </is>
      </c>
      <c r="D66" s="19" t="inlineStr">
        <is>
          <t>Statement of cash flows or MD&amp;A expense table, trailing 12 months, cash only: exclude non-cash share-based compensation (record it separately; it is dilution, K-08). Count investor relations, marketing, consulting, professional and management fees as G&amp;A, not as exploration. Listing, audit, legal and transfer-agent costs are largely fixed (roughly C$300-500k p.a. for a TSX-V issuer), which is why F-04 is scaled to company size.</t>
        </is>
      </c>
      <c r="E66" s="19" t="inlineStr">
        <is>
          <t>Statement of cash flows; MD&amp;A expense table.</t>
        </is>
      </c>
      <c r="F66" s="19" t="inlineStr">
        <is>
          <t>$ p.a.</t>
        </is>
      </c>
      <c r="G66" s="18" t="inlineStr">
        <is>
          <t>All</t>
        </is>
      </c>
      <c r="H66" s="18" t="n">
        <v>1</v>
      </c>
      <c r="I66" s="19" t="inlineStr">
        <is>
          <t>Lower is better</t>
        </is>
      </c>
      <c r="J66" s="18" t="inlineStr"/>
      <c r="K66" s="20" t="n"/>
      <c r="L66" s="21" t="n"/>
      <c r="M66" s="20" t="n"/>
      <c r="N66" s="20" t="n"/>
      <c r="O66" s="2">
        <f>IF(G66="All",1,IFERROR(MATCH(G66,{"G","D","R","S"},0)+1,1))</f>
        <v/>
      </c>
      <c r="P66" s="2">
        <f>IF($B$12="","",IF(O66&lt;=$B$12,"yes","no"))</f>
        <v/>
      </c>
    </row>
    <row r="67" ht="85" customHeight="1">
      <c r="A67" s="18" t="inlineStr">
        <is>
          <t>F-03</t>
        </is>
      </c>
      <c r="B67" s="18" t="inlineStr">
        <is>
          <t>F</t>
        </is>
      </c>
      <c r="C67" s="19" t="inlineStr">
        <is>
          <t>Cash runway</t>
        </is>
      </c>
      <c r="D67" s="19" t="inlineStr">
        <is>
          <t>Months = (working capital (F-01) - vendor and option payments due within 12 months (A-02)) / (monthly G&amp;A (F-02 / 12) + planned monthly exploration (E-03 budget / months; if no programme is announced, use trailing E&amp;E)). 12 months or more = comfortable; 6-12 = a financing within the year; below 6 months = a financing is imminent: expect a discount and a warrant, and buy in the placement or after it, never the week before (F-07). Funds for the next two programmes = rare and valuable. Use the Calculators sheet (block 6).</t>
        </is>
      </c>
      <c r="E67" s="19" t="inlineStr">
        <is>
          <t>F-01, F-02, programme budget (E-03).</t>
        </is>
      </c>
      <c r="F67" s="19" t="inlineStr">
        <is>
          <t>months</t>
        </is>
      </c>
      <c r="G67" s="18" t="inlineStr">
        <is>
          <t>All</t>
        </is>
      </c>
      <c r="H67" s="18" t="n">
        <v>1</v>
      </c>
      <c r="I67" s="19" t="inlineStr">
        <is>
          <t>Higher is better; &lt;6 months = red flag</t>
        </is>
      </c>
      <c r="J67" s="18" t="inlineStr">
        <is>
          <t>R</t>
        </is>
      </c>
      <c r="K67" s="20" t="n"/>
      <c r="L67" s="21" t="n"/>
      <c r="M67" s="20" t="n"/>
      <c r="N67" s="20" t="n"/>
      <c r="O67" s="2">
        <f>IF(G67="All",1,IFERROR(MATCH(G67,{"G","D","R","S"},0)+1,1))</f>
        <v/>
      </c>
      <c r="P67" s="2">
        <f>IF($B$12="","",IF(O67&lt;=$B$12,"yes","no"))</f>
        <v/>
      </c>
    </row>
    <row r="68" ht="98.5" customHeight="1">
      <c r="A68" s="18" t="inlineStr">
        <is>
          <t>F-04</t>
        </is>
      </c>
      <c r="B68" s="18" t="inlineStr">
        <is>
          <t>F</t>
        </is>
      </c>
      <c r="C68" s="19" t="inlineStr">
        <is>
          <t>Exploration share of spend</t>
        </is>
      </c>
      <c r="D68" s="19" t="inlineStr">
        <is>
          <t>Exploration and evaluation (E&amp;E) spend / (E&amp;E + cash G&amp;A) over the last four quarters; use cash G&amp;A as in F-02 and exclude property acquisition payments from E&amp;E (money to vendors, not into the ground). E&amp;E is on the statement of loss if expensed, otherwise in the cash-flow statement (investing) or the E&amp;E asset note. Scaled targets: total spend below 2 m$: at least 60%; 2-5 m$: at least 70%; above 5 m$: at least 80%. Below the target = red flag. For a project generator, count partner-funded exploration on its projects as E&amp;E.</t>
        </is>
      </c>
      <c r="E68" s="19" t="inlineStr">
        <is>
          <t>Financial statements E&amp;E note; statement of cash flows; MD&amp;A.</t>
        </is>
      </c>
      <c r="F68" s="19" t="inlineStr">
        <is>
          <t>%</t>
        </is>
      </c>
      <c r="G68" s="18" t="inlineStr">
        <is>
          <t>All</t>
        </is>
      </c>
      <c r="H68" s="18" t="n">
        <v>1</v>
      </c>
      <c r="I68" s="19" t="inlineStr">
        <is>
          <t>Higher is better; below scaled target = red flag</t>
        </is>
      </c>
      <c r="J68" s="18" t="inlineStr">
        <is>
          <t>R</t>
        </is>
      </c>
      <c r="K68" s="20" t="n"/>
      <c r="L68" s="21" t="n"/>
      <c r="M68" s="20" t="n"/>
      <c r="N68" s="20" t="n"/>
      <c r="O68" s="2">
        <f>IF(G68="All",1,IFERROR(MATCH(G68,{"G","D","R","S"},0)+1,1))</f>
        <v/>
      </c>
      <c r="P68" s="2">
        <f>IF($B$12="","",IF(O68&lt;=$B$12,"yes","no"))</f>
        <v/>
      </c>
    </row>
    <row r="69" ht="85" customHeight="1">
      <c r="A69" s="18" t="inlineStr">
        <is>
          <t>F-05</t>
        </is>
      </c>
      <c r="B69" s="18" t="inlineStr">
        <is>
          <t>F</t>
        </is>
      </c>
      <c r="C69" s="19" t="inlineStr">
        <is>
          <t>Spending discipline ratios</t>
        </is>
      </c>
      <c r="D69" s="19" t="inlineStr">
        <is>
          <t>(1) G&amp;A / E&amp;E (audited, 12 months) is the inverse of the exploration share in F-04 (E&amp;E share 60/70/80% = G&amp;A/E&amp;E 0.67/0.43/0.25): record it for reference, but score it only in F-04. (2) (Drilling + assays) / (IR + marketing + promotion + conferences + consulting): at least 5x good; below 2x red flag; if marketing is not broken out, ask the CFO and treat refusal as a flag. The CEO / VP Exploration salary ratio is scored in P-15, not here. Use the Calculators sheet (block 7).</t>
        </is>
      </c>
      <c r="E69" s="19" t="inlineStr">
        <is>
          <t>Financial statements E&amp;E note and expense breakdown; management information circular; SEDAR+ news releases on IR contracts.</t>
        </is>
      </c>
      <c r="F69" s="19" t="inlineStr">
        <is>
          <t>ratio</t>
        </is>
      </c>
      <c r="G69" s="18" t="inlineStr">
        <is>
          <t>All</t>
        </is>
      </c>
      <c r="H69" s="18" t="n">
        <v>2</v>
      </c>
      <c r="I69" s="19" t="inlineStr">
        <is>
          <t>Drilling+assays / marketing &gt;=5x = good; &lt;2x or refusal to break out marketing = red flag</t>
        </is>
      </c>
      <c r="J69" s="18" t="inlineStr">
        <is>
          <t>R</t>
        </is>
      </c>
      <c r="K69" s="20" t="n"/>
      <c r="L69" s="21" t="n"/>
      <c r="M69" s="20" t="n"/>
      <c r="N69" s="20" t="n"/>
      <c r="O69" s="2">
        <f>IF(G69="All",1,IFERROR(MATCH(G69,{"G","D","R","S"},0)+1,1))</f>
        <v/>
      </c>
      <c r="P69" s="2">
        <f>IF($B$12="","",IF(O69&lt;=$B$12,"yes","no"))</f>
        <v/>
      </c>
    </row>
    <row r="70" ht="98.5" customHeight="1">
      <c r="A70" s="18" t="inlineStr">
        <is>
          <t>F-06</t>
        </is>
      </c>
      <c r="B70" s="18" t="inlineStr">
        <is>
          <t>F</t>
        </is>
      </c>
      <c r="C70" s="19" t="inlineStr">
        <is>
          <t>Total liabilities and payments due</t>
        </is>
      </c>
      <c r="D70" s="19" t="inlineStr">
        <is>
          <t>Total liabilities; shareholder loans from management (cheap loans are neutral to positive; management extracting fees through its own contracts is covered in P-11 and P-12); vendor, option and milestone payments due in the next 12 months (A-02) versus cash. Red flags at exploration stage: any bank or third-party debt; convertible notes with a variable or floating conversion price, or an equity line ('toxic' financing); unspent flow-through funds past the spending deadline (FS flow-through commitment note: tax penalties and indemnities to subscribers follow).</t>
        </is>
      </c>
      <c r="E70" s="19" t="inlineStr">
        <is>
          <t>Balance sheet; commitments note; option agreements.</t>
        </is>
      </c>
      <c r="F70" s="19" t="inlineStr">
        <is>
          <t>m$</t>
        </is>
      </c>
      <c r="G70" s="18" t="inlineStr">
        <is>
          <t>All</t>
        </is>
      </c>
      <c r="H70" s="18" t="n">
        <v>2</v>
      </c>
      <c r="I70" s="19" t="inlineStr">
        <is>
          <t>Lower is better</t>
        </is>
      </c>
      <c r="J70" s="18" t="inlineStr"/>
      <c r="K70" s="20" t="n"/>
      <c r="L70" s="21" t="n"/>
      <c r="M70" s="20" t="n"/>
      <c r="N70" s="20" t="n"/>
      <c r="O70" s="2">
        <f>IF(G70="All",1,IFERROR(MATCH(G70,{"G","D","R","S"},0)+1,1))</f>
        <v/>
      </c>
      <c r="P70" s="2">
        <f>IF($B$12="","",IF(O70&lt;=$B$12,"yes","no"))</f>
        <v/>
      </c>
    </row>
    <row r="71" ht="85" customHeight="1">
      <c r="A71" s="18" t="inlineStr">
        <is>
          <t>F-07</t>
        </is>
      </c>
      <c r="B71" s="18" t="inlineStr">
        <is>
          <t>F</t>
        </is>
      </c>
      <c r="C71" s="19" t="inlineStr">
        <is>
          <t>Current programme fully funded?</t>
        </is>
      </c>
      <c r="D71" s="19" t="inlineStr">
        <is>
          <t>Yes only if working capital covers 1.5x the programme budget plus 12 months of G&amp;A. If not, a financing comes before results: do not buy until it has closed (hard stop for a new position). Check whether the programme is funded from current cash or from a financing that has not yet closed, and whether flow-through cash can legally fund it (Canadian exploration spend only). For a phased programme, apply the test to the funded phase and ask whether phase-1 results alone can move the stock.</t>
        </is>
      </c>
      <c r="E71" s="19" t="inlineStr">
        <is>
          <t>Programme news release (budget); F-01; use-of-proceeds table.</t>
        </is>
      </c>
      <c r="F71" s="19" t="inlineStr">
        <is>
          <t>Y/N + m$</t>
        </is>
      </c>
      <c r="G71" s="18" t="inlineStr">
        <is>
          <t>All</t>
        </is>
      </c>
      <c r="H71" s="18" t="n">
        <v>1</v>
      </c>
      <c r="I71" s="19" t="inlineStr">
        <is>
          <t>Y = good; N = hard stop until financed</t>
        </is>
      </c>
      <c r="J71" s="18" t="inlineStr">
        <is>
          <t>H</t>
        </is>
      </c>
      <c r="K71" s="20" t="n"/>
      <c r="L71" s="21" t="n"/>
      <c r="M71" s="20" t="n"/>
      <c r="N71" s="20" t="n"/>
      <c r="O71" s="2">
        <f>IF(G71="All",1,IFERROR(MATCH(G71,{"G","D","R","S"},0)+1,1))</f>
        <v/>
      </c>
      <c r="P71" s="2">
        <f>IF($B$12="","",IF(O71&lt;=$B$12,"yes","no"))</f>
        <v/>
      </c>
    </row>
    <row r="72" ht="31" customHeight="1">
      <c r="A72" s="14" t="inlineStr">
        <is>
          <t>A</t>
        </is>
      </c>
      <c r="B72" s="15" t="inlineStr">
        <is>
          <t>A</t>
        </is>
      </c>
      <c r="C72" s="14" t="inlineStr">
        <is>
          <t>ASSET OWNERSHIP, ROYALTIES &amp; AGREEMENTS</t>
        </is>
      </c>
      <c r="D72" s="16" t="inlineStr">
        <is>
          <t>What the company actually owns, what it still owes the vendor, and who else has a claim on the ounces. All stages.</t>
        </is>
      </c>
      <c r="E72" s="17" t="n"/>
      <c r="F72" s="17" t="n"/>
      <c r="G72" s="17" t="n"/>
      <c r="H72" s="17" t="n"/>
      <c r="I72" s="17" t="n"/>
      <c r="J72" s="17" t="n"/>
      <c r="K72" s="17" t="n"/>
      <c r="L72" s="17" t="n"/>
      <c r="M72" s="17" t="n"/>
      <c r="N72" s="17" t="n"/>
      <c r="O72" s="17" t="n"/>
      <c r="P72" s="17" t="n"/>
    </row>
    <row r="73" ht="125.5" customHeight="1">
      <c r="A73" s="18" t="inlineStr">
        <is>
          <t>A-01</t>
        </is>
      </c>
      <c r="B73" s="18" t="inlineStr">
        <is>
          <t>A</t>
        </is>
      </c>
      <c r="C73" s="19" t="inlineStr">
        <is>
          <t>Ownership of the flagship project</t>
        </is>
      </c>
      <c r="D73" s="19" t="inlineStr">
        <is>
          <t>Current attributable interest (%) and interest after completing any earn-in; this % scales every ounce and EV comparison (J-05). Name the licence-holding entity and its country of incorporation, and any intermediate holding company (subsidiaries note). Is the licence already registered in the company's subsidiary at the mining cadastre (portals listed in T-01), or is a ministerial transfer still pending behind 'earn-in' language? Any mandatory local shareholder at subsidiary level? Best case: 100% owned and staked by the company, or an earn-in through qualifying exploration expenditure. Transfer pending = red flag. If the project was vended by an insider or the sponsor group, apply P-11 and P-18.</t>
        </is>
      </c>
      <c r="E73" s="19" t="inlineStr">
        <is>
          <t>Technical report item 4 'Property description'; financial statements subsidiaries note; government cadastre; option or purchase agreement on SEDAR+.</t>
        </is>
      </c>
      <c r="F73" s="19" t="inlineStr">
        <is>
          <t>% now / % after earn-in; entity + country</t>
        </is>
      </c>
      <c r="G73" s="18" t="inlineStr">
        <is>
          <t>All</t>
        </is>
      </c>
      <c r="H73" s="18" t="n">
        <v>1</v>
      </c>
      <c r="I73" s="19" t="inlineStr">
        <is>
          <t>Higher is better; 100% held in a company subsidiary = good; transfer pending or licence still in the vendor's name = red flag</t>
        </is>
      </c>
      <c r="J73" s="18" t="inlineStr">
        <is>
          <t>R</t>
        </is>
      </c>
      <c r="K73" s="20" t="n"/>
      <c r="L73" s="21" t="n"/>
      <c r="M73" s="20" t="n"/>
      <c r="N73" s="20" t="n"/>
      <c r="O73" s="2">
        <f>IF(G73="All",1,IFERROR(MATCH(G73,{"G","D","R","S"},0)+1,1))</f>
        <v/>
      </c>
      <c r="P73" s="2">
        <f>IF($B$12="","",IF(O73&lt;=$B$12,"yes","no"))</f>
        <v/>
      </c>
    </row>
    <row r="74" ht="112" customHeight="1">
      <c r="A74" s="18" t="inlineStr">
        <is>
          <t>A-02</t>
        </is>
      </c>
      <c r="B74" s="18" t="inlineStr">
        <is>
          <t>A</t>
        </is>
      </c>
      <c r="C74" s="19" t="inlineStr">
        <is>
          <t>Vendor terms and payments</t>
        </is>
      </c>
      <c r="D74" s="19" t="inlineStr">
        <is>
          <t>Cash, share and milestone payments (resource or production milestones, advance-royalty minimums) already made, due in the next 12 months, and remaining in total. Compare the 12-month amount with cash on hand (F-01); committed remaining payments feed EV (K-02). Vendor shares issued cheaply and their escrow or hold expiry (K-09). Companies rarely volunteer large vendor cash payments: read the agreement, not the deck. Payments due in 12 months above 25% of cash on hand = red flag. Earn-in through qualifying exploration expenditure is preferable to cash milestones. If the vendor is an insider or the sponsor group, apply P-11 and P-18.</t>
        </is>
      </c>
      <c r="E74" s="19" t="inlineStr">
        <is>
          <t>Option or purchase agreement (SEDAR+ material contracts); acquisition news release; financial statements commitments note.</t>
        </is>
      </c>
      <c r="F74" s="19" t="inlineStr">
        <is>
          <t>m$ due in 12 months / m$ total remaining</t>
        </is>
      </c>
      <c r="G74" s="18" t="inlineStr">
        <is>
          <t>All</t>
        </is>
      </c>
      <c r="H74" s="18" t="n">
        <v>1</v>
      </c>
      <c r="I74" s="19" t="inlineStr">
        <is>
          <t>Lower is better; &gt;25% of cash due = red flag</t>
        </is>
      </c>
      <c r="J74" s="18" t="inlineStr">
        <is>
          <t>R</t>
        </is>
      </c>
      <c r="K74" s="20" t="n"/>
      <c r="L74" s="21" t="n"/>
      <c r="M74" s="20" t="n"/>
      <c r="N74" s="20" t="n"/>
      <c r="O74" s="2">
        <f>IF(G74="All",1,IFERROR(MATCH(G74,{"G","D","R","S"},0)+1,1))</f>
        <v/>
      </c>
      <c r="P74" s="2">
        <f>IF($B$12="","",IF(O74&lt;=$B$12,"yes","no"))</f>
        <v/>
      </c>
    </row>
    <row r="75" ht="139" customHeight="1">
      <c r="A75" s="18" t="inlineStr">
        <is>
          <t>A-03</t>
        </is>
      </c>
      <c r="B75" s="18" t="inlineStr">
        <is>
          <t>A</t>
        </is>
      </c>
      <c r="C75" s="19" t="inlineStr">
        <is>
          <t>Deal structure</t>
        </is>
      </c>
      <c r="D75" s="19" t="inlineStr">
        <is>
          <t>Select: 100% owned / expenditure earn-in / cash-plus-share earn-in / JV minority / option. Record: vendor free-carried interest (a private free carry reduces your attributable share and is a negative; a statutory state carry is normal, see J-03); back-in rights and their terms; area-of-interest clause (radius around the property within which newly acquired ground falls under the same terms and royalty); JV dilution formula (a partner that stops funding is diluted by formula and usually converts to a 1-2% NSR below 10%); vendor right of first refusal on a sale; underlying agreements (the vendor may itself hold the ground under an option or royalty that survives the deal); minimum work commitment and deadline (missing it loses the option); who funds exploration and later development. Is the agreement filed as a material contract on SEDAR+? If not, ask why.</t>
        </is>
      </c>
      <c r="E75" s="19" t="inlineStr">
        <is>
          <t>Agreement on SEDAR+; technical report item 4.</t>
        </is>
      </c>
      <c r="F75" s="19" t="inlineStr">
        <is>
          <t>select + text</t>
        </is>
      </c>
      <c r="G75" s="18" t="inlineStr">
        <is>
          <t>All</t>
        </is>
      </c>
      <c r="H75" s="18" t="n">
        <v>2</v>
      </c>
      <c r="I75" s="19" t="inlineStr">
        <is>
          <t>100% or expenditure earn-in = good; private free carry, back-in = negative</t>
        </is>
      </c>
      <c r="J75" s="18" t="inlineStr"/>
      <c r="K75" s="20" t="n"/>
      <c r="L75" s="21" t="n"/>
      <c r="M75" s="20" t="n"/>
      <c r="N75" s="20" t="n"/>
      <c r="O75" s="2">
        <f>IF(G75="All",1,IFERROR(MATCH(G75,{"G","D","R","S"},0)+1,1))</f>
        <v/>
      </c>
      <c r="P75" s="2">
        <f>IF($B$12="","",IF(O75&lt;=$B$12,"yes","no"))</f>
        <v/>
      </c>
    </row>
    <row r="76" ht="125.5" customHeight="1">
      <c r="A76" s="18" t="inlineStr">
        <is>
          <t>A-04</t>
        </is>
      </c>
      <c r="B76" s="18" t="inlineStr">
        <is>
          <t>A</t>
        </is>
      </c>
      <c r="C76" s="19" t="inlineStr">
        <is>
          <t>Third-party royalties and streams on the project</t>
        </is>
      </c>
      <c r="D76" s="19" t="inlineStr">
        <is>
          <t>Total NSR-equivalent % excluding the statutory government royalty (J-04), holder(s), buy-back right and price. For gold a gross revenue royalty (GRR) is roughly equal to the same % NSR (refining and transport deductions are small); a net profits interest (NPI) is paid only out of profits, so a 5-10% NPI is worth far less than a 5-10% NSR: record it separately, do not add it to the NSR total. Benchmarks: 1-2% NSR with a buy-back = standard (buy-backs of 0.5-1% for US$0.5-2m are common); 2-3% acceptable; above 3% aggregate or any stream = caution; above 5% = red flag. A royalty or stream held by an insider is scored in P-11, not here. Advance-royalty minimum payments belong in A-02. A low burden is itself a financing lever later (X-06).</t>
        </is>
      </c>
      <c r="E76" s="19" t="inlineStr">
        <is>
          <t>Technical report item 4; financial statements and MD&amp;A; prospectus or AIF 'Mineral properties'; royalty agreements on SEDAR+; royalty companies' published asset lists (Franco-Nevada, Osisko, Sandstorm, EMX, Metalla) for third-party holders.</t>
        </is>
      </c>
      <c r="F76" s="19" t="inlineStr">
        <is>
          <t>% NSR</t>
        </is>
      </c>
      <c r="G76" s="18" t="inlineStr">
        <is>
          <t>All</t>
        </is>
      </c>
      <c r="H76" s="18" t="n">
        <v>1</v>
      </c>
      <c r="I76" s="19" t="inlineStr">
        <is>
          <t>Lower is better; &gt;5% = red flag; &gt;3% or any stream = caution (insider-held: see P-11)</t>
        </is>
      </c>
      <c r="J76" s="18" t="inlineStr">
        <is>
          <t>R</t>
        </is>
      </c>
      <c r="K76" s="20" t="n"/>
      <c r="L76" s="21" t="n"/>
      <c r="M76" s="20" t="n"/>
      <c r="N76" s="20" t="n"/>
      <c r="O76" s="2">
        <f>IF(G76="All",1,IFERROR(MATCH(G76,{"G","D","R","S"},0)+1,1))</f>
        <v/>
      </c>
      <c r="P76" s="2">
        <f>IF($B$12="","",IF(O76&lt;=$B$12,"yes","no"))</f>
        <v/>
      </c>
    </row>
    <row r="77" ht="44.5" customHeight="1">
      <c r="A77" s="18" t="inlineStr">
        <is>
          <t>A-05</t>
        </is>
      </c>
      <c r="B77" s="18" t="inlineStr">
        <is>
          <t>A</t>
        </is>
      </c>
      <c r="C77" s="19" t="inlineStr">
        <is>
          <t>Secondary assets</t>
        </is>
      </c>
      <c r="D77" s="19" t="inlineStr">
        <is>
          <t>Count them and ask why they exist. Legacy assets from commodity pivots (C-03), assets on several continents without a thesis, or holding costs on ground nobody will explore are red flags; a coherent second project in the same belt is not.</t>
        </is>
      </c>
      <c r="E77" s="19" t="inlineStr">
        <is>
          <t>AIF 'Mineral properties'; MD&amp;A; financial statements E&amp;E note by property.</t>
        </is>
      </c>
      <c r="F77" s="19" t="inlineStr">
        <is>
          <t>#</t>
        </is>
      </c>
      <c r="G77" s="18" t="inlineStr">
        <is>
          <t>All</t>
        </is>
      </c>
      <c r="H77" s="18" t="n">
        <v>2</v>
      </c>
      <c r="I77" s="19" t="inlineStr">
        <is>
          <t>Fewer, coherent assets are better</t>
        </is>
      </c>
      <c r="J77" s="18" t="inlineStr"/>
      <c r="K77" s="20" t="n"/>
      <c r="L77" s="21" t="n"/>
      <c r="M77" s="20" t="n"/>
      <c r="N77" s="20" t="n"/>
      <c r="O77" s="2">
        <f>IF(G77="All",1,IFERROR(MATCH(G77,{"G","D","R","S"},0)+1,1))</f>
        <v/>
      </c>
      <c r="P77" s="2">
        <f>IF($B$12="","",IF(O77&lt;=$B$12,"yes","no"))</f>
        <v/>
      </c>
    </row>
    <row r="78" ht="125.5" customHeight="1">
      <c r="A78" s="18" t="inlineStr">
        <is>
          <t>A-06</t>
        </is>
      </c>
      <c r="B78" s="18" t="inlineStr">
        <is>
          <t>A</t>
        </is>
      </c>
      <c r="C78" s="19" t="inlineStr">
        <is>
          <t>Project-generator block (only if C-04 = Project generator)</t>
        </is>
      </c>
      <c r="D78" s="19" t="inlineStr">
        <is>
          <t>Number of active option or earn-in agreements and partner quality (a major or mid-tier funding a programme is verified geology; a shell paying in its own paper is not); firm partner spend commitments for the next 12 months and in total versus optional; cash and share payments received in the last 12 months and due in the next 12; retained NSRs (count, %, buy-back terms); share of G&amp;A covered by partner payments and management fees (at or above 50% = self-funding model, good; below 20% = an explorer with generator overhead); generative programmes per year and conversion rate to partnered projects (rule of thumb: one in five to ten generated targets gets optioned; none optioned in 3 years = red flag).</t>
        </is>
      </c>
      <c r="E78" s="19" t="inlineStr">
        <is>
          <t>News releases; MD&amp;A; financial statements.</t>
        </is>
      </c>
      <c r="F78" s="19" t="inlineStr">
        <is>
          <t>table</t>
        </is>
      </c>
      <c r="G78" s="18" t="inlineStr">
        <is>
          <t>All</t>
        </is>
      </c>
      <c r="H78" s="18" t="n">
        <v>2</v>
      </c>
      <c r="I78" s="19" t="inlineStr">
        <is>
          <t>Higher partner commitments and retained NSRs are better</t>
        </is>
      </c>
      <c r="J78" s="18" t="inlineStr"/>
      <c r="K78" s="20" t="n"/>
      <c r="L78" s="21" t="n"/>
      <c r="M78" s="20" t="n"/>
      <c r="N78" s="20" t="n"/>
      <c r="O78" s="2">
        <f>IF(G78="All",1,IFERROR(MATCH(G78,{"G","D","R","S"},0)+1,1))</f>
        <v/>
      </c>
      <c r="P78" s="2">
        <f>IF($B$12="","",IF(O78&lt;=$B$12,"yes","no"))</f>
        <v/>
      </c>
    </row>
    <row r="79" ht="31" customHeight="1">
      <c r="A79" s="14" t="inlineStr">
        <is>
          <t>M</t>
        </is>
      </c>
      <c r="B79" s="15" t="inlineStr">
        <is>
          <t>M</t>
        </is>
      </c>
      <c r="C79" s="14" t="inlineStr">
        <is>
          <t>PROMOTION, COVERAGE &amp; DISCLOSURE QUALITY</t>
        </is>
      </c>
      <c r="D79" s="16" t="inlineStr">
        <is>
          <t>Is the news flow exploration or marketing, and is the stock under a paid campaign. All stages.</t>
        </is>
      </c>
      <c r="E79" s="17" t="n"/>
      <c r="F79" s="17" t="n"/>
      <c r="G79" s="17" t="n"/>
      <c r="H79" s="17" t="n"/>
      <c r="I79" s="17" t="n"/>
      <c r="J79" s="17" t="n"/>
      <c r="K79" s="17" t="n"/>
      <c r="L79" s="17" t="n"/>
      <c r="M79" s="17" t="n"/>
      <c r="N79" s="17" t="n"/>
      <c r="O79" s="17" t="n"/>
      <c r="P79" s="17" t="n"/>
    </row>
    <row r="80" ht="112" customHeight="1">
      <c r="A80" s="18" t="inlineStr">
        <is>
          <t>M-01</t>
        </is>
      </c>
      <c r="B80" s="18" t="inlineStr">
        <is>
          <t>M</t>
        </is>
      </c>
      <c r="C80" s="19" t="inlineStr">
        <is>
          <t>Investor-relations and marketing spend</t>
        </is>
      </c>
      <c r="D80" s="19" t="inlineStr">
        <is>
          <t>IR, marketing, market-making or 'liquidity provider' agreements announced in the last 24 months (TSX-V Policy 3.4 requires a news release naming the counterparty and fee; issuers with a BC connection must also disclose paid promotional activity under BC Instrument 51-519: check its current scope). Record counterparty, monthly fee and term; a German-language IR firm or a 'market awareness' programme counts as promotion. IR + marketing as % of G&amp;A above 20%, or above 10% of total spend = red flag. Marketing often hides under 'investor relations', 'consulting', 'shareholder communications' or 'business development'; if not broken out, ask the CFO and treat refusal as a flag (F-05 ratio 2).</t>
        </is>
      </c>
      <c r="E80" s="19" t="inlineStr">
        <is>
          <t>SEDAR+ news releases (search 'investor relations', 'marketing', 'market making', 'awareness'); TSX-V bulletins; MD&amp;A expense table; financial statements; F-05.</t>
        </is>
      </c>
      <c r="F80" s="19" t="inlineStr">
        <is>
          <t>$ p.a. / %</t>
        </is>
      </c>
      <c r="G80" s="18" t="inlineStr">
        <is>
          <t>All</t>
        </is>
      </c>
      <c r="H80" s="18" t="n">
        <v>1</v>
      </c>
      <c r="I80" s="19" t="inlineStr">
        <is>
          <t>Lower is better; &gt;20% of G&amp;A = red flag</t>
        </is>
      </c>
      <c r="J80" s="18" t="inlineStr">
        <is>
          <t>R</t>
        </is>
      </c>
      <c r="K80" s="20" t="n"/>
      <c r="L80" s="21" t="n"/>
      <c r="M80" s="20" t="n"/>
      <c r="N80" s="20" t="n"/>
      <c r="O80" s="2">
        <f>IF(G80="All",1,IFERROR(MATCH(G80,{"G","D","R","S"},0)+1,1))</f>
        <v/>
      </c>
      <c r="P80" s="2">
        <f>IF($B$12="","",IF(O80&lt;=$B$12,"yes","no"))</f>
        <v/>
      </c>
    </row>
    <row r="81" ht="152.5" customHeight="1">
      <c r="A81" s="18" t="inlineStr">
        <is>
          <t>M-02</t>
        </is>
      </c>
      <c r="B81" s="18" t="inlineStr">
        <is>
          <t>M</t>
        </is>
      </c>
      <c r="C81" s="19" t="inlineStr">
        <is>
          <t>Paid promotion active? (and how you heard of the stock)</t>
        </is>
      </c>
      <c r="D81" s="19" t="inlineStr">
        <is>
          <t>Search the company name with 'compensated', 'sponsored', 'paid', 'bezahlte Werbung', 'IR-Vertrag'; read the disclaimer at the bottom of newsletters, videos and German Börsenbriefe; count recent news releases with no technical content (advisor appointments, 'awareness campaigns'); check the OTC Markets company page for a 'Promotion' or 'Caveat Emptor' designation (many Canadian juniors carry an OTC quote); check BCSC and ASC investor alerts and BaFin warnings (bafin.de &gt; Verbraucher &gt; Warnungen); compare with the agreements the company itself announced (M-01). If you met the stock through a German-language newsletter, video or messenger group, ask whether it carries a paid-promotion disclaimer and whether Frankfurt volume exceeds home-exchange volume (K-06). Any yes = red flag: assume the promoter's shares are being sold into the buying the campaign creates. A secondary quote itself is neutral; the campaign spend is the signal.</t>
        </is>
      </c>
      <c r="E81" s="19" t="inlineStr">
        <is>
          <t>Web search; newsletter and video disclaimers; otcmarkets.com company page (Promotion / Caveat Emptor flag); BaFin, BCSC, ASC alerts; M-01; volume by venue (K-06).</t>
        </is>
      </c>
      <c r="F81" s="19" t="inlineStr">
        <is>
          <t>Y/N</t>
        </is>
      </c>
      <c r="G81" s="18" t="inlineStr">
        <is>
          <t>All</t>
        </is>
      </c>
      <c r="H81" s="18" t="n">
        <v>1</v>
      </c>
      <c r="I81" s="19" t="inlineStr">
        <is>
          <t>Y = red flag</t>
        </is>
      </c>
      <c r="J81" s="18" t="inlineStr">
        <is>
          <t>R</t>
        </is>
      </c>
      <c r="K81" s="20" t="n"/>
      <c r="L81" s="21" t="n"/>
      <c r="M81" s="20" t="n"/>
      <c r="N81" s="20" t="n"/>
      <c r="O81" s="2">
        <f>IF(G81="All",1,IFERROR(MATCH(G81,{"G","D","R","S"},0)+1,1))</f>
        <v/>
      </c>
      <c r="P81" s="2">
        <f>IF($B$12="","",IF(O81&lt;=$B$12,"yes","no"))</f>
        <v/>
      </c>
    </row>
    <row r="82" ht="58" customHeight="1">
      <c r="A82" s="18" t="inlineStr">
        <is>
          <t>M-03</t>
        </is>
      </c>
      <c r="B82" s="18" t="inlineStr">
        <is>
          <t>M</t>
        </is>
      </c>
      <c r="C82" s="19" t="inlineStr">
        <is>
          <t>Analyst coverage</t>
        </is>
      </c>
      <c r="D82" s="19" t="inlineStr">
        <is>
          <t>Number of analysts and whether their broker acted as agent or finder in the last 24 months or holds broker warrants. Issuer-paid or commissioned research discloses the payment in its disclaimer (usually the last page, not the first): treat it as marketing, not research. A broker that financed the company rarely publishes a sell rating.</t>
        </is>
      </c>
      <c r="E82" s="19" t="inlineStr">
        <is>
          <t>Company website 'Analyst coverage'; research report first page; placement releases (agents).</t>
        </is>
      </c>
      <c r="F82" s="19" t="inlineStr">
        <is>
          <t># independent / # paid</t>
        </is>
      </c>
      <c r="G82" s="18" t="inlineStr">
        <is>
          <t>All</t>
        </is>
      </c>
      <c r="H82" s="18" t="n">
        <v>3</v>
      </c>
      <c r="I82" s="19" t="inlineStr">
        <is>
          <t>Independent coverage = neutral-positive; paid = marketing</t>
        </is>
      </c>
      <c r="J82" s="18" t="inlineStr"/>
      <c r="K82" s="20" t="n"/>
      <c r="L82" s="21" t="n"/>
      <c r="M82" s="20" t="n"/>
      <c r="N82" s="20" t="n"/>
      <c r="O82" s="2">
        <f>IF(G82="All",1,IFERROR(MATCH(G82,{"G","D","R","S"},0)+1,1))</f>
        <v/>
      </c>
      <c r="P82" s="2">
        <f>IF($B$12="","",IF(O82&lt;=$B$12,"yes","no"))</f>
        <v/>
      </c>
    </row>
    <row r="83" ht="71.5" customHeight="1">
      <c r="A83" s="18" t="inlineStr">
        <is>
          <t>M-04</t>
        </is>
      </c>
      <c r="B83" s="18" t="inlineStr">
        <is>
          <t>M</t>
        </is>
      </c>
      <c r="C83" s="19" t="inlineStr">
        <is>
          <t>Newsletter, podcast and video coverage</t>
        </is>
      </c>
      <c r="D83" s="19" t="inlineStr">
        <is>
          <t>For each outlet covering the stock, read its disclaimer: (a) the company paid for coverage or advertising; (b) the author holds shares received in a placement or as a fee; (c) subscriber-funded, no company payment. Count (a) and (b) as marketing, (c) as research. Note German-language coverage separately. The 'Reference names' list describes the three funding models; always check the disclaimer on the piece itself.</t>
        </is>
      </c>
      <c r="E83" s="19" t="inlineStr">
        <is>
          <t>Outlet disclaimers and 'about' pages; 'Reference names' list.</t>
        </is>
      </c>
      <c r="F83" s="19" t="inlineStr">
        <is>
          <t># paid / # independent</t>
        </is>
      </c>
      <c r="G83" s="18" t="inlineStr">
        <is>
          <t>All</t>
        </is>
      </c>
      <c r="H83" s="18" t="n">
        <v>2</v>
      </c>
      <c r="I83" s="19" t="inlineStr">
        <is>
          <t>Paid or undisclosed = negative; independent = neutral-positive</t>
        </is>
      </c>
      <c r="J83" s="18" t="inlineStr"/>
      <c r="K83" s="20" t="n"/>
      <c r="L83" s="21" t="n"/>
      <c r="M83" s="20" t="n"/>
      <c r="N83" s="20" t="n"/>
      <c r="O83" s="2">
        <f>IF(G83="All",1,IFERROR(MATCH(G83,{"G","D","R","S"},0)+1,1))</f>
        <v/>
      </c>
      <c r="P83" s="2">
        <f>IF($B$12="","",IF(O83&lt;=$B$12,"yes","no"))</f>
        <v/>
      </c>
    </row>
    <row r="84" ht="58" customHeight="1">
      <c r="A84" s="18" t="inlineStr">
        <is>
          <t>M-05</t>
        </is>
      </c>
      <c r="B84" s="18" t="inlineStr">
        <is>
          <t>M</t>
        </is>
      </c>
      <c r="C84" s="19" t="inlineStr">
        <is>
          <t>News-flow quality (last 12 months)</t>
        </is>
      </c>
      <c r="D84" s="19" t="inlineStr">
        <is>
          <t>Share of news releases that are technical (assays with full hole tables, permits, filings, financings) versus promotional (advisor appointments, 'awareness', 'visible gold observed' before assays, 'up to' grab-sample grades, macro commentary). Below 50% technical = red flag.</t>
        </is>
      </c>
      <c r="E84" s="19" t="inlineStr">
        <is>
          <t>SEDAR+ or company news archive.</t>
        </is>
      </c>
      <c r="F84" s="19" t="inlineStr">
        <is>
          <t>% technical</t>
        </is>
      </c>
      <c r="G84" s="18" t="inlineStr">
        <is>
          <t>All</t>
        </is>
      </c>
      <c r="H84" s="18" t="n">
        <v>2</v>
      </c>
      <c r="I84" s="19" t="inlineStr">
        <is>
          <t>Higher is better; &lt;50% = red flag</t>
        </is>
      </c>
      <c r="J84" s="18" t="inlineStr">
        <is>
          <t>R</t>
        </is>
      </c>
      <c r="K84" s="20" t="n"/>
      <c r="L84" s="21" t="n"/>
      <c r="M84" s="20" t="n"/>
      <c r="N84" s="20" t="n"/>
      <c r="O84" s="2">
        <f>IF(G84="All",1,IFERROR(MATCH(G84,{"G","D","R","S"},0)+1,1))</f>
        <v/>
      </c>
      <c r="P84" s="2">
        <f>IF($B$12="","",IF(O84&lt;=$B$12,"yes","no"))</f>
        <v/>
      </c>
    </row>
    <row r="85" ht="98.5" customHeight="1">
      <c r="A85" s="18" t="inlineStr">
        <is>
          <t>M-06</t>
        </is>
      </c>
      <c r="B85" s="18" t="inlineStr">
        <is>
          <t>M</t>
        </is>
      </c>
      <c r="C85" s="19" t="inlineStr">
        <is>
          <t>Corporate presentation quality</t>
        </is>
      </c>
      <c r="D85" s="19" t="inlineStr">
        <is>
          <t>Age at most 3 months and easy to find on the website (Y/N). Commodity or macro slides outnumbering project slides, or more than 3 macro slides in a deck under 25 slides = red flag; more than 40% of the deck = strong red flag. QP named and NI 43-101 / JORC cautionary language present; historical results labelled historical; plan map shows all holes including poor ones (G-13); capital-structure slide dated and matching the MD&amp;A (K-01); grades quoted as 'up to' or as metal-equivalent without stated assumptions = red flag (D-05); peer-comparison slide uses comparable stage and jurisdiction.</t>
        </is>
      </c>
      <c r="E85" s="19" t="inlineStr">
        <is>
          <t>Corporate presentation on the website.</t>
        </is>
      </c>
      <c r="F85" s="19" t="inlineStr">
        <is>
          <t>Y/N per item</t>
        </is>
      </c>
      <c r="G85" s="18" t="inlineStr">
        <is>
          <t>All</t>
        </is>
      </c>
      <c r="H85" s="18" t="n">
        <v>1</v>
      </c>
      <c r="I85" s="19" t="inlineStr">
        <is>
          <t>Y = good; commodity-heavy deck = red flag</t>
        </is>
      </c>
      <c r="J85" s="18" t="inlineStr">
        <is>
          <t>R</t>
        </is>
      </c>
      <c r="K85" s="20" t="n"/>
      <c r="L85" s="21" t="n"/>
      <c r="M85" s="20" t="n"/>
      <c r="N85" s="20" t="n"/>
      <c r="O85" s="2">
        <f>IF(G85="All",1,IFERROR(MATCH(G85,{"G","D","R","S"},0)+1,1))</f>
        <v/>
      </c>
      <c r="P85" s="2">
        <f>IF($B$12="","",IF(O85&lt;=$B$12,"yes","no"))</f>
        <v/>
      </c>
    </row>
    <row r="86" ht="58" customHeight="1">
      <c r="A86" s="18" t="inlineStr">
        <is>
          <t>M-07</t>
        </is>
      </c>
      <c r="B86" s="18" t="inlineStr">
        <is>
          <t>M</t>
        </is>
      </c>
      <c r="C86" s="19" t="inlineStr">
        <is>
          <t>Technical presentation and data access</t>
        </is>
      </c>
      <c r="D86" s="19" t="inlineStr">
        <is>
          <t>A technical presentation with plan maps of all collars, cross and long sections, and the geological model; core-photo library online (not only the best box); drill database export on request; investor or analyst site visits hosted; the CEO answers technical questions rather than always deferring.</t>
        </is>
      </c>
      <c r="E86" s="19" t="inlineStr">
        <is>
          <t>Website; ask investor relations.</t>
        </is>
      </c>
      <c r="F86" s="19" t="inlineStr">
        <is>
          <t>Y/N</t>
        </is>
      </c>
      <c r="G86" s="18" t="inlineStr">
        <is>
          <t>D</t>
        </is>
      </c>
      <c r="H86" s="18" t="n">
        <v>2</v>
      </c>
      <c r="I86" s="19" t="inlineStr">
        <is>
          <t>Y = good</t>
        </is>
      </c>
      <c r="J86" s="18" t="inlineStr"/>
      <c r="K86" s="20" t="n"/>
      <c r="L86" s="21" t="n"/>
      <c r="M86" s="20" t="n"/>
      <c r="N86" s="20" t="n"/>
      <c r="O86" s="2">
        <f>IF(G86="All",1,IFERROR(MATCH(G86,{"G","D","R","S"},0)+1,1))</f>
        <v/>
      </c>
      <c r="P86" s="2">
        <f>IF($B$12="","",IF(O86&lt;=$B$12,"yes","no"))</f>
        <v/>
      </c>
    </row>
    <row r="87" ht="58" customHeight="1">
      <c r="A87" s="18" t="inlineStr">
        <is>
          <t>M-08</t>
        </is>
      </c>
      <c r="B87" s="18" t="inlineStr">
        <is>
          <t>M</t>
        </is>
      </c>
      <c r="C87" s="19" t="inlineStr">
        <is>
          <t>Social-media and IR plan</t>
        </is>
      </c>
      <c r="D87" s="19" t="inlineStr">
        <is>
          <t>Management can state its approach. Daily posting is not required; undisclosed paid promotion, a plan that consists of hype, or company accounts that repost paid promoters and 'stock alert' channels = red flag. Follow influencers on YouTube and X for information, never for decisions.</t>
        </is>
      </c>
      <c r="E87" s="19" t="inlineStr">
        <is>
          <t>Ask management; company channels.</t>
        </is>
      </c>
      <c r="F87" s="19" t="inlineStr">
        <is>
          <t>text</t>
        </is>
      </c>
      <c r="G87" s="18" t="inlineStr">
        <is>
          <t>All</t>
        </is>
      </c>
      <c r="H87" s="18" t="n">
        <v>3</v>
      </c>
      <c r="I87" s="19" t="inlineStr">
        <is>
          <t>Info</t>
        </is>
      </c>
      <c r="J87" s="18" t="inlineStr"/>
      <c r="K87" s="20" t="n"/>
      <c r="L87" s="21" t="n"/>
      <c r="M87" s="20" t="n"/>
      <c r="N87" s="20" t="n"/>
      <c r="O87" s="2">
        <f>IF(G87="All",1,IFERROR(MATCH(G87,{"G","D","R","S"},0)+1,1))</f>
        <v/>
      </c>
      <c r="P87" s="2">
        <f>IF($B$12="","",IF(O87&lt;=$B$12,"yes","no"))</f>
        <v/>
      </c>
    </row>
    <row r="88" ht="71.5" customHeight="1">
      <c r="A88" s="18" t="inlineStr">
        <is>
          <t>M-09</t>
        </is>
      </c>
      <c r="B88" s="18" t="inlineStr">
        <is>
          <t>M</t>
        </is>
      </c>
      <c r="C88" s="19" t="inlineStr">
        <is>
          <t>Announced milestones versus delivery, last 24 months</t>
        </is>
      </c>
      <c r="D88" s="19" t="inlineStr">
        <is>
          <t>List dated promises from news releases and decks (drill start, assay turnaround, maiden resource, PEA, permit) against actual delivery dates. Slippage of more than 6 months on two or more milestones without a stated reason, or 'resource by year-end' repeated across several years = red flag. Programme metres and reporting completeness are scored in E-07; this row scores the credibility of the corporate calendar (E-06).</t>
        </is>
      </c>
      <c r="E88" s="19" t="inlineStr">
        <is>
          <t>News-release archive (SEDAR+ or website); old corporate decks (web archive); E-06.</t>
        </is>
      </c>
      <c r="F88" s="19" t="inlineStr">
        <is>
          <t># missed / # promised</t>
        </is>
      </c>
      <c r="G88" s="18" t="inlineStr">
        <is>
          <t>All</t>
        </is>
      </c>
      <c r="H88" s="18" t="n">
        <v>2</v>
      </c>
      <c r="I88" s="19" t="inlineStr">
        <is>
          <t>Lower is better; &gt;=2 milestones slipped &gt;6 months = red flag</t>
        </is>
      </c>
      <c r="J88" s="18" t="inlineStr">
        <is>
          <t>R</t>
        </is>
      </c>
      <c r="K88" s="20" t="n"/>
      <c r="L88" s="21" t="n"/>
      <c r="M88" s="20" t="n"/>
      <c r="N88" s="20" t="n"/>
      <c r="O88" s="2">
        <f>IF(G88="All",1,IFERROR(MATCH(G88,{"G","D","R","S"},0)+1,1))</f>
        <v/>
      </c>
      <c r="P88" s="2">
        <f>IF($B$12="","",IF(O88&lt;=$B$12,"yes","no"))</f>
        <v/>
      </c>
    </row>
    <row r="89" ht="31" customHeight="1">
      <c r="A89" s="14" t="inlineStr">
        <is>
          <t>J</t>
        </is>
      </c>
      <c r="B89" s="15" t="inlineStr">
        <is>
          <t>J</t>
        </is>
      </c>
      <c r="C89" s="14" t="inlineStr">
        <is>
          <t>JURISDICTION &amp; FISCAL TAKE</t>
        </is>
      </c>
      <c r="D89" s="16" t="inlineStr">
        <is>
          <t>Country and sub-national risk, and the share of every ounce that never reaches shareholders. All stages.</t>
        </is>
      </c>
      <c r="E89" s="17" t="n"/>
      <c r="F89" s="17" t="n"/>
      <c r="G89" s="17" t="n"/>
      <c r="H89" s="17" t="n"/>
      <c r="I89" s="17" t="n"/>
      <c r="J89" s="17" t="n"/>
      <c r="K89" s="17" t="n"/>
      <c r="L89" s="17" t="n"/>
      <c r="M89" s="17" t="n"/>
      <c r="N89" s="17" t="n"/>
      <c r="O89" s="17" t="n"/>
      <c r="P89" s="17" t="n"/>
    </row>
    <row r="90" ht="193" customHeight="1">
      <c r="A90" s="18" t="inlineStr">
        <is>
          <t>J-01</t>
        </is>
      </c>
      <c r="B90" s="18" t="inlineStr">
        <is>
          <t>J</t>
        </is>
      </c>
      <c r="C90" s="19" t="inlineStr">
        <is>
          <t>Jurisdiction of the flagship project (country / state or province)</t>
        </is>
      </c>
      <c r="D90" s="19" t="inlineStr">
        <is>
          <t>Assess the sub-national unit where Fraser rates it separately and mining law, permitting or royalties are set at that level (Canadian provinces, US states, Australian states, Argentine provinces); Mexico, Peru, Colombia and every African country are rated as a whole, with regional security and social conditions checked in J-06 and T-10. If assets sit in several jurisdictions, answer for the one carrying &gt;70% of the exploration budget. Record the Fraser Institute Policy Perception Index (PPI) rank and quartile (rank divided by the number of jurisdictions surveyed that year), not the Investment Attractiveness Index (which blends in geology). Top quartile = good; bottom quartile, or not surveyed in the last two editions (common for West African countries), = red flag unless management has a local track record (P-05) and peers are active there. 'Exotic' jurisdiction = any two of: bottom-half PPI or not surveyed; sovereign rating below B- or unrated; a full or partial Auswärtiges Amt / FCDO travel warning; a licence revocation precedent in the last 5 years (J-02). Mining Journal 'World Risk Insights' (paid) is the alternative ranking; EY and Deloitte reports are executive surveys, not jurisdiction rankings.</t>
        </is>
      </c>
      <c r="E90" s="19" t="inlineStr">
        <is>
          <t>Fraser Institute Annual Survey of Mining Companies (free, PPI table); Mining Journal Intelligence World Risk Insights (paid); Auswärtiges Amt Reise- und Sicherheitshinweise; UK FCDO.</t>
        </is>
      </c>
      <c r="F90" s="19" t="inlineStr">
        <is>
          <t>rank / quartile / not surveyed</t>
        </is>
      </c>
      <c r="G90" s="18" t="inlineStr">
        <is>
          <t>All</t>
        </is>
      </c>
      <c r="H90" s="18" t="n">
        <v>1</v>
      </c>
      <c r="I90" s="19" t="inlineStr">
        <is>
          <t>Top quartile = good; bottom quartile or not surveyed = red flag unless a local team is proven (P-05)</t>
        </is>
      </c>
      <c r="J90" s="18" t="inlineStr">
        <is>
          <t>R</t>
        </is>
      </c>
      <c r="K90" s="20" t="n"/>
      <c r="L90" s="21" t="n"/>
      <c r="M90" s="20" t="n"/>
      <c r="N90" s="20" t="n"/>
      <c r="O90" s="2">
        <f>IF(G90="All",1,IFERROR(MATCH(G90,{"G","D","R","S"},0)+1,1))</f>
        <v/>
      </c>
      <c r="P90" s="2">
        <f>IF($B$12="","",IF(O90&lt;=$B$12,"yes","no"))</f>
        <v/>
      </c>
    </row>
    <row r="91" ht="179.5" customHeight="1">
      <c r="A91" s="18" t="inlineStr">
        <is>
          <t>J-02</t>
        </is>
      </c>
      <c r="B91" s="18" t="inlineStr">
        <is>
          <t>J</t>
        </is>
      </c>
      <c r="C91" s="19" t="inlineStr">
        <is>
          <t>Country events: last 24 months and next 18 months</t>
        </is>
      </c>
      <c r="D91" s="19" t="inlineStr">
        <is>
          <t>List with dates and sources: (1) next national or provincial election; (2) unconstitutional change of government or state of emergency; (3) new mining code, decree or royalty change and its direction; (4) moratorium on new permits or on a mining method (open pit, cyanide); (5) export ban or mandatory state buyer for the commodity; (6) revocation of an active, compliant licence, forced sale, provisional administration or nationalisation affecting any company (routine cancellation of lapsed or non-performing permits, common in West Africa, does not count); (7) EU or US sanctions, FATF grey list. Any of items 2, 4, 5 or 6 in the last 24 months = hard stop for a first position; an election within 12 months = size the position for a repricing. Recent examples (verify): Mali 2023 code with up to 35% state and local participation and the 2025 provisional administration of Loulo-Gounkoto; Burkina Faso 2024 code; Niger's post-coup permit revocations (2024); Guinea's 2025 permit revocations; Mexico's 2023 reform reserving new exploration to the state; Panama's 2023 moratorium.</t>
        </is>
      </c>
      <c r="E91" s="19" t="inlineStr">
        <is>
          <t>AIF or MD&amp;A risk factors; financial statements subsequent-events note; Reuters and Mining.com searches on the country plus 'mining code', 'permit', 'election'; Auswärtiges Amt country page; EU sanctions map; FATF grey-list page.</t>
        </is>
      </c>
      <c r="F91" s="19" t="inlineStr">
        <is>
          <t>date | event | source</t>
        </is>
      </c>
      <c r="G91" s="18" t="inlineStr">
        <is>
          <t>All</t>
        </is>
      </c>
      <c r="H91" s="18" t="n">
        <v>1</v>
      </c>
      <c r="I91" s="19" t="inlineStr">
        <is>
          <t>Recent coup, moratorium, export ban or revocation = hard stop</t>
        </is>
      </c>
      <c r="J91" s="18" t="inlineStr">
        <is>
          <t>H</t>
        </is>
      </c>
      <c r="K91" s="20" t="n"/>
      <c r="L91" s="21" t="n"/>
      <c r="M91" s="20" t="n"/>
      <c r="N91" s="20" t="n"/>
      <c r="O91" s="2">
        <f>IF(G91="All",1,IFERROR(MATCH(G91,{"G","D","R","S"},0)+1,1))</f>
        <v/>
      </c>
      <c r="P91" s="2">
        <f>IF($B$12="","",IF(O91&lt;=$B$12,"yes","no"))</f>
        <v/>
      </c>
    </row>
    <row r="92" ht="125.5" customHeight="1">
      <c r="A92" s="18" t="inlineStr">
        <is>
          <t>J-03</t>
        </is>
      </c>
      <c r="B92" s="18" t="inlineStr">
        <is>
          <t>J</t>
        </is>
      </c>
      <c r="C92" s="19" t="inlineStr">
        <is>
          <t>State participation (free carry)</t>
        </is>
      </c>
      <c r="D92" s="19" t="inlineStr">
        <is>
          <t>Free-carried state interest today and the maximum the code allows on conversion to a mining licence; purchase options (at what price); mandatory local private investors. Examples (verify): Ghana, Cote d'Ivoire, Senegal 10%; Guinea 15% plus a 20% purchase right; Tanzania 16%; DRC 10% rising 5% at each renewal; Mali 2023 code 10% free plus 20% option plus 5% local (up to 35%); Burkina Faso 2024 code 15%. None in Canada, Australia, Nevada, Mexico, Peru, Chile or Brazil: answer 0 (Nevada instead carries a net-proceeds tax of up to 5%, a 0.75-1.1% gross-revenue excise tax and private NSRs of 1-3% on staked ground, A-04). The carry usually attaches only at the mining licence, so an explorer shows 0% today and the maximum later.</t>
        </is>
      </c>
      <c r="E92" s="19" t="inlineStr">
        <is>
          <t>Technical report item 4; mining code summary in the AIF or MD&amp;A; JORC Table 1 section 2.</t>
        </is>
      </c>
      <c r="F92" s="19" t="inlineStr">
        <is>
          <t>% now / % max</t>
        </is>
      </c>
      <c r="G92" s="18" t="inlineStr">
        <is>
          <t>All</t>
        </is>
      </c>
      <c r="H92" s="18" t="n">
        <v>1</v>
      </c>
      <c r="I92" s="19" t="inlineStr">
        <is>
          <t>Lower is better</t>
        </is>
      </c>
      <c r="J92" s="18" t="inlineStr"/>
      <c r="K92" s="20" t="n"/>
      <c r="L92" s="21" t="n"/>
      <c r="M92" s="20" t="n"/>
      <c r="N92" s="20" t="n"/>
      <c r="O92" s="2">
        <f>IF(G92="All",1,IFERROR(MATCH(G92,{"G","D","R","S"},0)+1,1))</f>
        <v/>
      </c>
      <c r="P92" s="2">
        <f>IF($B$12="","",IF(O92&lt;=$B$12,"yes","no"))</f>
        <v/>
      </c>
    </row>
    <row r="93" ht="152.5" customHeight="1">
      <c r="A93" s="18" t="inlineStr">
        <is>
          <t>J-04</t>
        </is>
      </c>
      <c r="B93" s="18" t="inlineStr">
        <is>
          <t>J</t>
        </is>
      </c>
      <c r="C93" s="19" t="inlineStr">
        <is>
          <t>Government royalty and other fiscal take</t>
        </is>
      </c>
      <c r="D93" s="19" t="inlineStr">
        <is>
          <t>Royalty rate and basis (NSR, gross value, or sliding with price: Cote d'Ivoire and Burkina Faso step up at roughly US$1,500-2,000/oz, so at today's price every sliding scale sits in its top bracket; record that rate). Rule of thumb: a total government royalty stack of 3-5% of revenue is normal (Ghana 5%, Senegal 5%, Nevada net-proceeds up to 5% plus excise, Western Australia 2.5%, Ontario and Quebec profit-based); 6-7% is heavy; above 7-8% (e.g. Mali's 2023 stack, verify) needs an explicit discount. Local development funds (Burkina Faso 1% of turnover, Cote d'Ivoire 0.5%); corporate tax rate and stabilisation term in the mining convention; VAT or duty treatment of exploration spend (loss of an exemption raises every drilling invoice by the VAT rate, 18% in most states of the West African CFA-franc zone, UEMOA); FX repatriation and capital controls; foreign-ownership caps. Row A-04 covers private royalties separately.</t>
        </is>
      </c>
      <c r="E93" s="19" t="inlineStr">
        <is>
          <t>Mining code summary (AIF or MD&amp;A risk factors); technical report item 4; mining convention if public; PwC and EY country mining-tax summaries (free) for rates and stabilisation terms.</t>
        </is>
      </c>
      <c r="F93" s="19" t="inlineStr">
        <is>
          <t>%</t>
        </is>
      </c>
      <c r="G93" s="18" t="inlineStr">
        <is>
          <t>All</t>
        </is>
      </c>
      <c r="H93" s="18" t="n">
        <v>2</v>
      </c>
      <c r="I93" s="19" t="inlineStr">
        <is>
          <t>Lower is better</t>
        </is>
      </c>
      <c r="J93" s="18" t="inlineStr"/>
      <c r="K93" s="20" t="n"/>
      <c r="L93" s="21" t="n"/>
      <c r="M93" s="20" t="n"/>
      <c r="N93" s="20" t="n"/>
      <c r="O93" s="2">
        <f>IF(G93="All",1,IFERROR(MATCH(G93,{"G","D","R","S"},0)+1,1))</f>
        <v/>
      </c>
      <c r="P93" s="2">
        <f>IF($B$12="","",IF(O93&lt;=$B$12,"yes","no"))</f>
        <v/>
      </c>
    </row>
    <row r="94" ht="112" customHeight="1">
      <c r="A94" s="18" t="inlineStr">
        <is>
          <t>J-05</t>
        </is>
      </c>
      <c r="B94" s="18" t="inlineStr">
        <is>
          <t>J</t>
        </is>
      </c>
      <c r="C94" s="19" t="inlineStr">
        <is>
          <t>Attributable interest</t>
        </is>
      </c>
      <c r="D94" s="19" t="inlineStr">
        <is>
          <t>Attributable % = company ownership (A-01) x (1 - state free carry (J-03)). Scale every ounce, NPV and EV-per-ounce comparison by this number. Worked example at an illustrative US$3,500/oz and US$1,750/oz AISC (headline margin US$1,750): a 5% royalty (~US$175/oz) cuts the margin to ~US$1,575; a 10% free carry leaves 90% of that to shareholders (~US$1,418, 19% below headline); a Mali-style 35% state and local stake combined with a ~7% royalty stack leaves ~US$980 (44% below). Because the company funds 100% of capex while receiving 65-90% of cash flow, IRR falls by more than the stake. Use the Calculators sheet, block 9.</t>
        </is>
      </c>
      <c r="E94" s="19" t="inlineStr">
        <is>
          <t>A-01; J-03; J-04.</t>
        </is>
      </c>
      <c r="F94" s="19" t="inlineStr">
        <is>
          <t>%</t>
        </is>
      </c>
      <c r="G94" s="18" t="inlineStr">
        <is>
          <t>All</t>
        </is>
      </c>
      <c r="H94" s="18" t="n">
        <v>2</v>
      </c>
      <c r="I94" s="19" t="inlineStr">
        <is>
          <t>Higher is better</t>
        </is>
      </c>
      <c r="J94" s="18" t="inlineStr"/>
      <c r="K94" s="20" t="n"/>
      <c r="L94" s="21" t="n"/>
      <c r="M94" s="20" t="n"/>
      <c r="N94" s="20" t="n"/>
      <c r="O94" s="2">
        <f>IF(G94="All",1,IFERROR(MATCH(G94,{"G","D","R","S"},0)+1,1))</f>
        <v/>
      </c>
      <c r="P94" s="2">
        <f>IF($B$12="","",IF(O94&lt;=$B$12,"yes","no"))</f>
        <v/>
      </c>
    </row>
    <row r="95" ht="112" customHeight="1">
      <c r="A95" s="18" t="inlineStr">
        <is>
          <t>J-06</t>
        </is>
      </c>
      <c r="B95" s="18" t="inlineStr">
        <is>
          <t>J</t>
        </is>
      </c>
      <c r="C95" s="19" t="inlineStr">
        <is>
          <t>Security situation at site</t>
        </is>
      </c>
      <c r="D95" s="19" t="inlineStr">
        <is>
          <t>Check government travel advisories for the specific region, not the country (UK FCDO, Canada travel.gc.ca, Auswärtiges Amt). Any attack, kidnapping, evacuation or suspension of work at mining operations within about 200 km in the last 3 years (ACLED conflict-event map, free with registration, is the practical source for the Sahel and Mexico)? Does the company follow the Voluntary Principles on Security and Human Rights and disclose a security plan? Score: High = full travel warning for the project region, or an incident at a mining operation within 200 km in the last 12 months (hard stop for a first position); Medium = partial warning or an incident within 3 years; Low = neither.</t>
        </is>
      </c>
      <c r="E95" s="19" t="inlineStr">
        <is>
          <t>Travel advisories (FCDO, travel.gc.ca, Auswärtiges Amt); ACLED conflict-event map; MD&amp;A / AIF risk factors; news search.</t>
        </is>
      </c>
      <c r="F95" s="19" t="inlineStr">
        <is>
          <t>Low / Medium / High</t>
        </is>
      </c>
      <c r="G95" s="18" t="inlineStr">
        <is>
          <t>All</t>
        </is>
      </c>
      <c r="H95" s="18" t="n">
        <v>1</v>
      </c>
      <c r="I95" s="19" t="inlineStr">
        <is>
          <t>Low = good; High = hard stop</t>
        </is>
      </c>
      <c r="J95" s="18" t="inlineStr">
        <is>
          <t>H</t>
        </is>
      </c>
      <c r="K95" s="20" t="n"/>
      <c r="L95" s="21" t="n"/>
      <c r="M95" s="20" t="n"/>
      <c r="N95" s="20" t="n"/>
      <c r="O95" s="2">
        <f>IF(G95="All",1,IFERROR(MATCH(G95,{"G","D","R","S"},0)+1,1))</f>
        <v/>
      </c>
      <c r="P95" s="2">
        <f>IF($B$12="","",IF(O95&lt;=$B$12,"yes","no"))</f>
        <v/>
      </c>
    </row>
    <row r="96" ht="98.5" customHeight="1">
      <c r="A96" s="18" t="inlineStr">
        <is>
          <t>J-07</t>
        </is>
      </c>
      <c r="B96" s="18" t="inlineStr">
        <is>
          <t>J</t>
        </is>
      </c>
      <c r="C96" s="19" t="inlineStr">
        <is>
          <t>Holding chain and treaty cover (deferred)</t>
        </is>
      </c>
      <c r="D96" s="19" t="inlineStr">
        <is>
          <t>Does the entity that directly holds the local subsidiary sit in a country with a bilateral investment treaty or FIPA in force with the host state? Canada has FIPAs in force with, among others, Mali, Burkina Faso, Cote d'Ivoire, Guinea, Senegal and Tanzania; a Mauritius or BVI holding company in between may lose that cover (Mauritius has its own treaties with several African states; check the chain). Australia and the UK have fewer treaties with West African states. Arbitration rarely rescues the equity in time, so treat this as a deferred item, not a screen.</t>
        </is>
      </c>
      <c r="E96" s="19" t="inlineStr">
        <is>
          <t>Financial statements subsidiaries note; Global Affairs Canada FIPA list; UNCTAD investment-agreements navigator.</t>
        </is>
      </c>
      <c r="F96" s="19" t="inlineStr">
        <is>
          <t>Y/N</t>
        </is>
      </c>
      <c r="G96" s="18" t="inlineStr">
        <is>
          <t>All</t>
        </is>
      </c>
      <c r="H96" s="18" t="n">
        <v>3</v>
      </c>
      <c r="I96" s="19" t="inlineStr">
        <is>
          <t>Y = modest positive; not a screen</t>
        </is>
      </c>
      <c r="J96" s="18" t="inlineStr"/>
      <c r="K96" s="20" t="n"/>
      <c r="L96" s="21" t="n"/>
      <c r="M96" s="20" t="n"/>
      <c r="N96" s="20" t="n"/>
      <c r="O96" s="2">
        <f>IF(G96="All",1,IFERROR(MATCH(G96,{"G","D","R","S"},0)+1,1))</f>
        <v/>
      </c>
      <c r="P96" s="2">
        <f>IF($B$12="","",IF(O96&lt;=$B$12,"yes","no"))</f>
        <v/>
      </c>
    </row>
    <row r="97" ht="31" customHeight="1">
      <c r="A97" s="14" t="inlineStr">
        <is>
          <t>S</t>
        </is>
      </c>
      <c r="B97" s="15" t="inlineStr">
        <is>
          <t>S</t>
        </is>
      </c>
      <c r="C97" s="14" t="inlineStr">
        <is>
          <t>PROJECT SETTING &amp; ACCESS</t>
        </is>
      </c>
      <c r="D97" s="16" t="inlineStr">
        <is>
          <t>Where the project is, what it costs to work there, and why it is still available. Stage G onward.</t>
        </is>
      </c>
      <c r="E97" s="17" t="n"/>
      <c r="F97" s="17" t="n"/>
      <c r="G97" s="17" t="n"/>
      <c r="H97" s="17" t="n"/>
      <c r="I97" s="17" t="n"/>
      <c r="J97" s="17" t="n"/>
      <c r="K97" s="17" t="n"/>
      <c r="L97" s="17" t="n"/>
      <c r="M97" s="17" t="n"/>
      <c r="N97" s="17" t="n"/>
      <c r="O97" s="17" t="n"/>
      <c r="P97" s="17" t="n"/>
    </row>
    <row r="98" ht="85" customHeight="1">
      <c r="A98" s="18" t="inlineStr">
        <is>
          <t>S-01</t>
        </is>
      </c>
      <c r="B98" s="18" t="inlineStr">
        <is>
          <t>S</t>
        </is>
      </c>
      <c r="C98" s="19" t="inlineStr">
        <is>
          <t>Desktop location check</t>
        </is>
      </c>
      <c r="D98" s="19" t="inlineStr">
        <is>
          <t>Locate the project on Google Earth from the corporate deck's coordinates or claim map; if the deck fails, try the location map in technical report item 4 and the government cadastre. Still cannot locate = red flag: it should be easy. Note distance to the nearest settlement, roads, power lines, water bodies and topography; indigenous title, protected areas and claim boundaries need the cadastre, Protected Planet or native-land.ca (T-10, T-12), not the satellite image.</t>
        </is>
      </c>
      <c r="E98" s="19" t="inlineStr">
        <is>
          <t>Google Earth / Google Maps; corporate deck; government cadastre.</t>
        </is>
      </c>
      <c r="F98" s="19" t="inlineStr">
        <is>
          <t>Y/N</t>
        </is>
      </c>
      <c r="G98" s="18" t="inlineStr">
        <is>
          <t>G</t>
        </is>
      </c>
      <c r="H98" s="18" t="n">
        <v>1</v>
      </c>
      <c r="I98" s="19" t="inlineStr">
        <is>
          <t>Y = good; cannot locate = red flag</t>
        </is>
      </c>
      <c r="J98" s="18" t="inlineStr">
        <is>
          <t>R</t>
        </is>
      </c>
      <c r="K98" s="20" t="n"/>
      <c r="L98" s="21" t="n"/>
      <c r="M98" s="20" t="n"/>
      <c r="N98" s="20" t="n"/>
      <c r="O98" s="2">
        <f>IF(G98="All",1,IFERROR(MATCH(G98,{"G","D","R","S"},0)+1,1))</f>
        <v/>
      </c>
      <c r="P98" s="2">
        <f>IF($B$12="","",IF(O98&lt;=$B$12,"yes","no"))</f>
        <v/>
      </c>
    </row>
    <row r="99" ht="98.5" customHeight="1">
      <c r="A99" s="18" t="inlineStr">
        <is>
          <t>S-02</t>
        </is>
      </c>
      <c r="B99" s="18" t="inlineStr">
        <is>
          <t>S</t>
        </is>
      </c>
      <c r="C99" s="19" t="inlineStr">
        <is>
          <t>Land position (km2)</t>
        </is>
      </c>
      <c r="D99" s="19" t="inlineStr">
        <is>
          <t>Record km2 (1 km2 = 100 ha = 247 acres). Judge relative to the local permit regime and peers in the belt, not against a single number: West African and Australian greenfield permits are typically 100-400 km2 by law, so 200 km2 is normal; in Quebec, Nevada or the Golden Triangle 50 km2 of contiguous ground can cover an entire trend. Brownfield: the licence must cover the whole historic mine footprint plus a buffer, and legacy liabilities go with it (T-13). Check that holding costs and work commitments are funded (T-03, F-03).</t>
        </is>
      </c>
      <c r="E99" s="19" t="inlineStr">
        <is>
          <t>Technical report item 4; corporate deck; cadastre.</t>
        </is>
      </c>
      <c r="F99" s="19" t="inlineStr">
        <is>
          <t>km2</t>
        </is>
      </c>
      <c r="G99" s="18" t="inlineStr">
        <is>
          <t>G</t>
        </is>
      </c>
      <c r="H99" s="18" t="n">
        <v>1</v>
      </c>
      <c r="I99" s="19" t="inlineStr">
        <is>
          <t>Adequate for the belt and funded = good</t>
        </is>
      </c>
      <c r="J99" s="18" t="inlineStr"/>
      <c r="K99" s="20" t="n"/>
      <c r="L99" s="21" t="n"/>
      <c r="M99" s="20" t="n"/>
      <c r="N99" s="20" t="n"/>
      <c r="O99" s="2">
        <f>IF(G99="All",1,IFERROR(MATCH(G99,{"G","D","R","S"},0)+1,1))</f>
        <v/>
      </c>
      <c r="P99" s="2">
        <f>IF($B$12="","",IF(O99&lt;=$B$12,"yes","no"))</f>
        <v/>
      </c>
    </row>
    <row r="100" ht="71.5" customHeight="1">
      <c r="A100" s="18" t="inlineStr">
        <is>
          <t>S-03</t>
        </is>
      </c>
      <c r="B100" s="18" t="inlineStr">
        <is>
          <t>S</t>
        </is>
      </c>
      <c r="C100" s="19" t="inlineStr">
        <is>
          <t>Share of the licence systematically explored (discovery optionality)</t>
        </is>
      </c>
      <c r="D100" s="19" t="inlineStr">
        <is>
          <t>% of the area covered by systematic geochemistry or geophysics. State the trade-off once: unexplored ground = higher optionality, lower probability; explored ground = de-risked, lower optionality. Preferred profile: under-explored ground inside a proven belt (S-07) with a specific, credible reason why earlier explorers missed it (S-04). Do not double-count maturity in S-05, S-12 or S-04.</t>
        </is>
      </c>
      <c r="E100" s="19" t="inlineStr">
        <is>
          <t>Technical report items 6, 9; corporate deck.</t>
        </is>
      </c>
      <c r="F100" s="19" t="inlineStr">
        <is>
          <t>%</t>
        </is>
      </c>
      <c r="G100" s="18" t="inlineStr">
        <is>
          <t>G</t>
        </is>
      </c>
      <c r="H100" s="18" t="n">
        <v>2</v>
      </c>
      <c r="I100" s="19" t="inlineStr">
        <is>
          <t>Info; see trade-off</t>
        </is>
      </c>
      <c r="J100" s="18" t="inlineStr"/>
      <c r="K100" s="20" t="n"/>
      <c r="L100" s="21" t="n"/>
      <c r="M100" s="20" t="n"/>
      <c r="N100" s="20" t="n"/>
      <c r="O100" s="2">
        <f>IF(G100="All",1,IFERROR(MATCH(G100,{"G","D","R","S"},0)+1,1))</f>
        <v/>
      </c>
      <c r="P100" s="2">
        <f>IF($B$12="","",IF(O100&lt;=$B$12,"yes","no"))</f>
        <v/>
      </c>
    </row>
    <row r="101" ht="44.5" customHeight="1">
      <c r="A101" s="18" t="inlineStr">
        <is>
          <t>S-04</t>
        </is>
      </c>
      <c r="B101" s="18" t="inlineStr">
        <is>
          <t>S</t>
        </is>
      </c>
      <c r="C101" s="19" t="inlineStr">
        <is>
          <t>Why has nobody found this before?</t>
        </is>
      </c>
      <c r="D101" s="19" t="inlineStr">
        <is>
          <t>Acceptable answers: new tenure or access, transported cover, a new deposit model, new geophysics, first modern exploration. No answer, in a mature jurisdiction = red flag. Recycled projects in mature belts are re-explored every cycle: ask what changed.</t>
        </is>
      </c>
      <c r="E101" s="19" t="inlineStr">
        <is>
          <t>Technical report item 6 'History'; ask management.</t>
        </is>
      </c>
      <c r="F101" s="19" t="inlineStr">
        <is>
          <t>text</t>
        </is>
      </c>
      <c r="G101" s="18" t="inlineStr">
        <is>
          <t>G</t>
        </is>
      </c>
      <c r="H101" s="18" t="n">
        <v>2</v>
      </c>
      <c r="I101" s="19" t="inlineStr">
        <is>
          <t>Credible reason = good; none in a mature belt = red flag</t>
        </is>
      </c>
      <c r="J101" s="18" t="inlineStr">
        <is>
          <t>R</t>
        </is>
      </c>
      <c r="K101" s="20" t="n"/>
      <c r="L101" s="21" t="n"/>
      <c r="M101" s="20" t="n"/>
      <c r="N101" s="20" t="n"/>
      <c r="O101" s="2">
        <f>IF(G101="All",1,IFERROR(MATCH(G101,{"G","D","R","S"},0)+1,1))</f>
        <v/>
      </c>
      <c r="P101" s="2">
        <f>IF($B$12="","",IF(O101&lt;=$B$12,"yes","no"))</f>
        <v/>
      </c>
    </row>
    <row r="102" ht="58" customHeight="1">
      <c r="A102" s="18" t="inlineStr">
        <is>
          <t>S-05</t>
        </is>
      </c>
      <c r="B102" s="18" t="inlineStr">
        <is>
          <t>S</t>
        </is>
      </c>
      <c r="C102" s="19" t="inlineStr">
        <is>
          <t>Brownfield: historical data</t>
        </is>
      </c>
      <c r="D102" s="19" t="inlineStr">
        <is>
          <t>Y/N is neutral. If yes: is the historical data (drilling, geophysics, sampling) compiled and digitised (favourable)? Why did prior operators stop: price, grade, permitting, liabilities, or the deposit was not there? Verification of that data is scored in G-12; historical holes on current maps in G-13.</t>
        </is>
      </c>
      <c r="E102" s="19" t="inlineStr">
        <is>
          <t>Technical report item 6; government assessment files (G-14).</t>
        </is>
      </c>
      <c r="F102" s="19" t="inlineStr">
        <is>
          <t>Y/N</t>
        </is>
      </c>
      <c r="G102" s="18" t="inlineStr">
        <is>
          <t>G</t>
        </is>
      </c>
      <c r="H102" s="18" t="n">
        <v>2</v>
      </c>
      <c r="I102" s="19" t="inlineStr">
        <is>
          <t>Neutral; digitised data = good</t>
        </is>
      </c>
      <c r="J102" s="18" t="inlineStr"/>
      <c r="K102" s="20" t="n"/>
      <c r="L102" s="21" t="n"/>
      <c r="M102" s="20" t="n"/>
      <c r="N102" s="20" t="n"/>
      <c r="O102" s="2">
        <f>IF(G102="All",1,IFERROR(MATCH(G102,{"G","D","R","S"},0)+1,1))</f>
        <v/>
      </c>
      <c r="P102" s="2">
        <f>IF($B$12="","",IF(O102&lt;=$B$12,"yes","no"))</f>
        <v/>
      </c>
    </row>
    <row r="103" ht="71.5" customHeight="1">
      <c r="A103" s="18" t="inlineStr">
        <is>
          <t>S-06</t>
        </is>
      </c>
      <c r="B103" s="18" t="inlineStr">
        <is>
          <t>S</t>
        </is>
      </c>
      <c r="C103" s="19" t="inlineStr">
        <is>
          <t>District scale</t>
        </is>
      </c>
      <c r="D103" s="19" t="inlineStr">
        <is>
          <t>Contiguous ground covering more than ~20 km of the prospective belt or structure with more than one known occurrence. Preferred, but only with the budget to match: expect more than C$5m per year, and for porphyry systems multi-year programmes and tens of millions before a resource. Check cash against that (F-03) or treat as a negative regardless of geology.</t>
        </is>
      </c>
      <c r="E103" s="19" t="inlineStr">
        <is>
          <t>Corporate deck; technical report item 4; F-03.</t>
        </is>
      </c>
      <c r="F103" s="19" t="inlineStr">
        <is>
          <t>Y/N</t>
        </is>
      </c>
      <c r="G103" s="18" t="inlineStr">
        <is>
          <t>G</t>
        </is>
      </c>
      <c r="H103" s="18" t="n">
        <v>2</v>
      </c>
      <c r="I103" s="19" t="inlineStr">
        <is>
          <t>Y = good only if funded</t>
        </is>
      </c>
      <c r="J103" s="18" t="inlineStr"/>
      <c r="K103" s="20" t="n"/>
      <c r="L103" s="21" t="n"/>
      <c r="M103" s="20" t="n"/>
      <c r="N103" s="20" t="n"/>
      <c r="O103" s="2">
        <f>IF(G103="All",1,IFERROR(MATCH(G103,{"G","D","R","S"},0)+1,1))</f>
        <v/>
      </c>
      <c r="P103" s="2">
        <f>IF($B$12="","",IF(O103&lt;=$B$12,"yes","no"))</f>
        <v/>
      </c>
    </row>
    <row r="104" ht="125.5" customHeight="1">
      <c r="A104" s="18" t="inlineStr">
        <is>
          <t>S-07</t>
        </is>
      </c>
      <c r="B104" s="18" t="inlineStr">
        <is>
          <t>S</t>
        </is>
      </c>
      <c r="C104" s="19" t="inlineStr">
        <is>
          <t>Same-structure test (nearology check)</t>
        </is>
      </c>
      <c r="D104" s="19" t="inlineStr">
        <is>
          <t>(a) Distance to the nearest deposit above 1 Moz measured along the same mapped structure or host unit: under 10 km along strike is meaningful; a radius drawn on a deck map is not. (b) Same deposit type, host lithology and structural setting confirmed on a government geological map or in technical report items 7-8. (c) Has the neighbouring major or any prior owner held or drilled this ground, and does it hold the ground on the other sides? If the major dropped or never took the ground, ask why before ascribing value to the neighbour. Proximity is never evidence of mineralisation on the tenement.</t>
        </is>
      </c>
      <c r="E104" s="19" t="inlineStr">
        <is>
          <t>Government geological map (Canada: GSC and provincial surveys such as OGS and SIGEOM; USA: USGS and state surveys such as NBMG for Nevada; Australia: GSWA and the other state surveys; West Africa: BRGM / SIGAfrique maps and national surveys; Mexico: SGM; Peru: INGEMMET) overlaid on the claim outline; technical report items 6-8; assessment files (G-14).</t>
        </is>
      </c>
      <c r="F104" s="19" t="inlineStr">
        <is>
          <t>km, Y/N</t>
        </is>
      </c>
      <c r="G104" s="18" t="inlineStr">
        <is>
          <t>G</t>
        </is>
      </c>
      <c r="H104" s="18" t="n">
        <v>2</v>
      </c>
      <c r="I104" s="19" t="inlineStr">
        <is>
          <t>Same structure within 10 km = good</t>
        </is>
      </c>
      <c r="J104" s="18" t="inlineStr"/>
      <c r="K104" s="20" t="n"/>
      <c r="L104" s="21" t="n"/>
      <c r="M104" s="20" t="n"/>
      <c r="N104" s="20" t="n"/>
      <c r="O104" s="2">
        <f>IF(G104="All",1,IFERROR(MATCH(G104,{"G","D","R","S"},0)+1,1))</f>
        <v/>
      </c>
      <c r="P104" s="2">
        <f>IF($B$12="","",IF(O104&lt;=$B$12,"yes","no"))</f>
        <v/>
      </c>
    </row>
    <row r="105" ht="58" customHeight="1">
      <c r="A105" s="18" t="inlineStr">
        <is>
          <t>S-08</t>
        </is>
      </c>
      <c r="B105" s="18" t="inlineStr">
        <is>
          <t>S</t>
        </is>
      </c>
      <c r="C105" s="19" t="inlineStr">
        <is>
          <t>Named controlling structure or host unit on the property</t>
        </is>
      </c>
      <c r="D105" s="19" t="inlineStr">
        <is>
          <t>Write the name (e.g. Cadillac-Larder Lake break, Senegal-Mali shear zone, Carlin trend, Boulder-Lefroy fault). 'Abitibi greenstone belt' or 'Birimian' is a region, not a structure. 'Tier-one' in a deck means a deposit above 5 Moz (Glossary), not a belt or a neighbour.</t>
        </is>
      </c>
      <c r="E105" s="19" t="inlineStr">
        <is>
          <t>Technical report items 7-8; government map.</t>
        </is>
      </c>
      <c r="F105" s="19" t="inlineStr">
        <is>
          <t>text</t>
        </is>
      </c>
      <c r="G105" s="18" t="inlineStr">
        <is>
          <t>G</t>
        </is>
      </c>
      <c r="H105" s="18" t="n">
        <v>2</v>
      </c>
      <c r="I105" s="19" t="inlineStr">
        <is>
          <t>Named structure = good</t>
        </is>
      </c>
      <c r="J105" s="18" t="inlineStr"/>
      <c r="K105" s="20" t="n"/>
      <c r="L105" s="21" t="n"/>
      <c r="M105" s="20" t="n"/>
      <c r="N105" s="20" t="n"/>
      <c r="O105" s="2">
        <f>IF(G105="All",1,IFERROR(MATCH(G105,{"G","D","R","S"},0)+1,1))</f>
        <v/>
      </c>
      <c r="P105" s="2">
        <f>IF($B$12="","",IF(O105&lt;=$B$12,"yes","no"))</f>
        <v/>
      </c>
    </row>
    <row r="106" ht="112" customHeight="1">
      <c r="A106" s="18" t="inlineStr">
        <is>
          <t>S-09</t>
        </is>
      </c>
      <c r="B106" s="18" t="inlineStr">
        <is>
          <t>S</t>
        </is>
      </c>
      <c r="C106" s="19" t="inlineStr">
        <is>
          <t>Field season and programme timing</t>
        </is>
      </c>
      <c r="D106" s="19" t="inlineStr">
        <is>
          <t>Months of drilling season and what closes it: Sahel and Guinea wet season roughly June-October; southern and central Cote d'Ivoire and Ghana (Ashanti, Sefwi belts) two wet seasons (roughly April-July and September-November); the northern belts of both countries (e.g. Tongon, northern Ghana) one (roughly May-October); central Andes December-March; northern Australia November-April; Canada and Alaska freeze-up and break-up (winter can be a drilling season on frozen ground); Nevada and Western Australia largely year-round. The programme and the financing must be timed to the project's season, not the listing's; financings cluster before the season, which predicts the dilution calendar.</t>
        </is>
      </c>
      <c r="E106" s="19" t="inlineStr">
        <is>
          <t>Technical report item 5 'Climate'; programme news release.</t>
        </is>
      </c>
      <c r="F106" s="19" t="inlineStr">
        <is>
          <t>months</t>
        </is>
      </c>
      <c r="G106" s="18" t="inlineStr">
        <is>
          <t>G</t>
        </is>
      </c>
      <c r="H106" s="18" t="n">
        <v>2</v>
      </c>
      <c r="I106" s="19" t="inlineStr">
        <is>
          <t>10-12 months = good</t>
        </is>
      </c>
      <c r="J106" s="18" t="inlineStr"/>
      <c r="K106" s="20" t="n"/>
      <c r="L106" s="21" t="n"/>
      <c r="M106" s="20" t="n"/>
      <c r="N106" s="20" t="n"/>
      <c r="O106" s="2">
        <f>IF(G106="All",1,IFERROR(MATCH(G106,{"G","D","R","S"},0)+1,1))</f>
        <v/>
      </c>
      <c r="P106" s="2">
        <f>IF($B$12="","",IF(O106&lt;=$B$12,"yes","no"))</f>
        <v/>
      </c>
    </row>
    <row r="107" ht="58" customHeight="1">
      <c r="A107" s="18" t="inlineStr">
        <is>
          <t>S-10</t>
        </is>
      </c>
      <c r="B107" s="18" t="inlineStr">
        <is>
          <t>S</t>
        </is>
      </c>
      <c r="C107" s="19" t="inlineStr">
        <is>
          <t>Distance to a service town and to dwellings</t>
        </is>
      </c>
      <c r="D107" s="19" t="inlineStr">
        <is>
          <t>Roughly 20-100 km from a service town is ideal: close enough for workforce, supplies and drill mobilisation, far enough that no dwellings fall inside a potential pit. Settlements within 2-3 km of the mineralised zone, or inside a plausible pit shell, = resettlement and social-licence risk (R-18, T-08).</t>
        </is>
      </c>
      <c r="E107" s="19" t="inlineStr">
        <is>
          <t>Google Earth; technical report item 5.</t>
        </is>
      </c>
      <c r="F107" s="19" t="inlineStr">
        <is>
          <t>km</t>
        </is>
      </c>
      <c r="G107" s="18" t="inlineStr">
        <is>
          <t>G</t>
        </is>
      </c>
      <c r="H107" s="18" t="n">
        <v>2</v>
      </c>
      <c r="I107" s="19" t="inlineStr">
        <is>
          <t>20-100 km = good; dwellings on target = red flag</t>
        </is>
      </c>
      <c r="J107" s="18" t="inlineStr">
        <is>
          <t>R</t>
        </is>
      </c>
      <c r="K107" s="20" t="n"/>
      <c r="L107" s="21" t="n"/>
      <c r="M107" s="20" t="n"/>
      <c r="N107" s="20" t="n"/>
      <c r="O107" s="2">
        <f>IF(G107="All",1,IFERROR(MATCH(G107,{"G","D","R","S"},0)+1,1))</f>
        <v/>
      </c>
      <c r="P107" s="2">
        <f>IF($B$12="","",IF(O107&lt;=$B$12,"yes","no"))</f>
        <v/>
      </c>
    </row>
    <row r="108" ht="58" customHeight="1">
      <c r="A108" s="18" t="inlineStr">
        <is>
          <t>S-11</t>
        </is>
      </c>
      <c r="B108" s="18" t="inlineStr">
        <is>
          <t>S</t>
        </is>
      </c>
      <c r="C108" s="19" t="inlineStr">
        <is>
          <t>Field base and core facility</t>
        </is>
      </c>
      <c r="D108" s="19" t="inlineStr">
        <is>
          <t>Select: (a) daily access from town (favourable, no camp cost); (b) existing permanent camp on site (favourable); (c) camp to be built, fly-camp or helicopter-supported (negative: add to the cost of the test, E-03). Record distance from camp to drill targets and to the nearest town, and whether core is logged and cut on site or trucked.</t>
        </is>
      </c>
      <c r="E108" s="19" t="inlineStr">
        <is>
          <t>Technical report item 5; programme news release.</t>
        </is>
      </c>
      <c r="F108" s="19" t="inlineStr">
        <is>
          <t>select</t>
        </is>
      </c>
      <c r="G108" s="18" t="inlineStr">
        <is>
          <t>G</t>
        </is>
      </c>
      <c r="H108" s="18" t="n">
        <v>2</v>
      </c>
      <c r="I108" s="19" t="inlineStr">
        <is>
          <t>(a) or (b) = good</t>
        </is>
      </c>
      <c r="J108" s="18" t="inlineStr"/>
      <c r="K108" s="20" t="n"/>
      <c r="L108" s="21" t="n"/>
      <c r="M108" s="20" t="n"/>
      <c r="N108" s="20" t="n"/>
      <c r="O108" s="2">
        <f>IF(G108="All",1,IFERROR(MATCH(G108,{"G","D","R","S"},0)+1,1))</f>
        <v/>
      </c>
      <c r="P108" s="2">
        <f>IF($B$12="","",IF(O108&lt;=$B$12,"yes","no"))</f>
        <v/>
      </c>
    </row>
    <row r="109" ht="71.5" customHeight="1">
      <c r="A109" s="18" t="inlineStr">
        <is>
          <t>S-12</t>
        </is>
      </c>
      <c r="B109" s="18" t="inlineStr">
        <is>
          <t>S</t>
        </is>
      </c>
      <c r="C109" s="19" t="inlineStr">
        <is>
          <t>Road access</t>
        </is>
      </c>
      <c r="D109" s="19" t="inlineStr">
        <is>
          <t>Kilometres to an all-weather road; seasonal or ice road only; helicopter dependence (helicopter-supported diamond drilling costs roughly two to three times road-accessible drilling, US$500-1,000/m versus US$150-400/m, E-04). Good access = lower cost and is scored here as favourable; the 'well-served ground is already explored' argument belongs in S-03, not here.</t>
        </is>
      </c>
      <c r="E109" s="19" t="inlineStr">
        <is>
          <t>Technical report item 5; Google Earth.</t>
        </is>
      </c>
      <c r="F109" s="19" t="inlineStr">
        <is>
          <t>km</t>
        </is>
      </c>
      <c r="G109" s="18" t="inlineStr">
        <is>
          <t>G</t>
        </is>
      </c>
      <c r="H109" s="18" t="n">
        <v>2</v>
      </c>
      <c r="I109" s="19" t="inlineStr">
        <is>
          <t>Shorter is better</t>
        </is>
      </c>
      <c r="J109" s="18" t="inlineStr"/>
      <c r="K109" s="20" t="n"/>
      <c r="L109" s="21" t="n"/>
      <c r="M109" s="20" t="n"/>
      <c r="N109" s="20" t="n"/>
      <c r="O109" s="2">
        <f>IF(G109="All",1,IFERROR(MATCH(G109,{"G","D","R","S"},0)+1,1))</f>
        <v/>
      </c>
      <c r="P109" s="2">
        <f>IF($B$12="","",IF(O109&lt;=$B$12,"yes","no"))</f>
        <v/>
      </c>
    </row>
    <row r="110" ht="85" customHeight="1">
      <c r="A110" s="18" t="inlineStr">
        <is>
          <t>S-13</t>
        </is>
      </c>
      <c r="B110" s="18" t="inlineStr">
        <is>
          <t>S</t>
        </is>
      </c>
      <c r="C110" s="19" t="inlineStr">
        <is>
          <t>Water for drilling now and processing later</t>
        </is>
      </c>
      <c r="D110" s="19" t="inlineStr">
        <is>
          <t>Source (surface, groundwater, trucked) and distance. Diamond drilling uses several cubic metres per rig-day; trucking water in arid areas is a major cost line. In arid jurisdictions (Chile, Peru coast, Nevada, Western Australia) water is a separately licensed, often fully allocated right: does the company hold or have a path to water rights, and who competes for the water (farms, communities)? Water is the commonest trigger of community opposition.</t>
        </is>
      </c>
      <c r="E110" s="19" t="inlineStr">
        <is>
          <t>Technical report item 5; water-rights registry (Nevada Division of Water Rights, Chile DGA, Peru ANA, Western Australia DWER); ask management.</t>
        </is>
      </c>
      <c r="F110" s="19" t="inlineStr">
        <is>
          <t>km, Y/N</t>
        </is>
      </c>
      <c r="G110" s="18" t="inlineStr">
        <is>
          <t>G</t>
        </is>
      </c>
      <c r="H110" s="18" t="n">
        <v>2</v>
      </c>
      <c r="I110" s="19" t="inlineStr">
        <is>
          <t>Source secured = good</t>
        </is>
      </c>
      <c r="J110" s="18" t="inlineStr"/>
      <c r="K110" s="20" t="n"/>
      <c r="L110" s="21" t="n"/>
      <c r="M110" s="20" t="n"/>
      <c r="N110" s="20" t="n"/>
      <c r="O110" s="2">
        <f>IF(G110="All",1,IFERROR(MATCH(G110,{"G","D","R","S"},0)+1,1))</f>
        <v/>
      </c>
      <c r="P110" s="2">
        <f>IF($B$12="","",IF(O110&lt;=$B$12,"yes","no"))</f>
        <v/>
      </c>
    </row>
    <row r="111" ht="44.5" customHeight="1">
      <c r="A111" s="18" t="inlineStr">
        <is>
          <t>S-14</t>
        </is>
      </c>
      <c r="B111" s="18" t="inlineStr">
        <is>
          <t>S</t>
        </is>
      </c>
      <c r="C111" s="19" t="inlineStr">
        <is>
          <t>Power</t>
        </is>
      </c>
      <c r="D111" s="19" t="inlineStr">
        <is>
          <t>Kilometres to grid and expected tariff. Diesel-only power costs roughly 2-3x grid power per kWh (a solar-diesel hybrid narrows the gap) and raises operating cost, not only capex.</t>
        </is>
      </c>
      <c r="E111" s="19" t="inlineStr">
        <is>
          <t>Technical report item 5.</t>
        </is>
      </c>
      <c r="F111" s="19" t="inlineStr">
        <is>
          <t>km, $/kWh</t>
        </is>
      </c>
      <c r="G111" s="18" t="inlineStr">
        <is>
          <t>D</t>
        </is>
      </c>
      <c r="H111" s="18" t="n">
        <v>3</v>
      </c>
      <c r="I111" s="19" t="inlineStr">
        <is>
          <t>Closer and cheaper is better</t>
        </is>
      </c>
      <c r="J111" s="18" t="inlineStr"/>
      <c r="K111" s="20" t="n"/>
      <c r="L111" s="21" t="n"/>
      <c r="M111" s="20" t="n"/>
      <c r="N111" s="20" t="n"/>
      <c r="O111" s="2">
        <f>IF(G111="All",1,IFERROR(MATCH(G111,{"G","D","R","S"},0)+1,1))</f>
        <v/>
      </c>
      <c r="P111" s="2">
        <f>IF($B$12="","",IF(O111&lt;=$B$12,"yes","no"))</f>
        <v/>
      </c>
    </row>
    <row r="112" ht="58" customHeight="1">
      <c r="A112" s="18" t="inlineStr">
        <is>
          <t>S-15</t>
        </is>
      </c>
      <c r="B112" s="18" t="inlineStr">
        <is>
          <t>S</t>
        </is>
      </c>
      <c r="C112" s="19" t="inlineStr">
        <is>
          <t>Topography and altitude</t>
        </is>
      </c>
      <c r="D112" s="19" t="inlineStr">
        <is>
          <t>Relief and elevation. Steep terrain raises exploration cost and complicates a mine (exceptions exist). Altitude above 4,000 m = productivity, health and permitting penalty. Glacial or periglacial ground = a legal exclusion in Argentina (Ley 26.639) and a permitting risk in Chile.</t>
        </is>
      </c>
      <c r="E112" s="19" t="inlineStr">
        <is>
          <t>Technical report item 5; Google Earth terrain.</t>
        </is>
      </c>
      <c r="F112" s="19" t="inlineStr">
        <is>
          <t>m</t>
        </is>
      </c>
      <c r="G112" s="18" t="inlineStr">
        <is>
          <t>G</t>
        </is>
      </c>
      <c r="H112" s="18" t="n">
        <v>3</v>
      </c>
      <c r="I112" s="19" t="inlineStr">
        <is>
          <t>Lower relief and altitude are better</t>
        </is>
      </c>
      <c r="J112" s="18" t="inlineStr"/>
      <c r="K112" s="20" t="n"/>
      <c r="L112" s="21" t="n"/>
      <c r="M112" s="20" t="n"/>
      <c r="N112" s="20" t="n"/>
      <c r="O112" s="2">
        <f>IF(G112="All",1,IFERROR(MATCH(G112,{"G","D","R","S"},0)+1,1))</f>
        <v/>
      </c>
      <c r="P112" s="2">
        <f>IF($B$12="","",IF(O112&lt;=$B$12,"yes","no"))</f>
        <v/>
      </c>
    </row>
    <row r="113" ht="58" customHeight="1">
      <c r="A113" s="18" t="inlineStr">
        <is>
          <t>S-16</t>
        </is>
      </c>
      <c r="B113" s="18" t="inlineStr">
        <is>
          <t>S</t>
        </is>
      </c>
      <c r="C113" s="19" t="inlineStr">
        <is>
          <t>Climate and seasonal constraints</t>
        </is>
      </c>
      <c r="D113" s="19" t="inlineStr">
        <is>
          <t>Annual rainfall (mm) and months lost to wet season, freeze-up, wildfire (Canada 2023 halted many programmes) or cyclones. Above 1,500 mm with a monsoon pattern typically costs 4-5 months of drilling and raises road and camp costs. Is the stated programme timing realistic (S-09)?</t>
        </is>
      </c>
      <c r="E113" s="19" t="inlineStr">
        <is>
          <t>Technical report item 5; climate data.</t>
        </is>
      </c>
      <c r="F113" s="19" t="inlineStr">
        <is>
          <t>mm, months</t>
        </is>
      </c>
      <c r="G113" s="18" t="inlineStr">
        <is>
          <t>G</t>
        </is>
      </c>
      <c r="H113" s="18" t="n">
        <v>3</v>
      </c>
      <c r="I113" s="19" t="inlineStr">
        <is>
          <t>Fewer lost months is better</t>
        </is>
      </c>
      <c r="J113" s="18" t="inlineStr"/>
      <c r="K113" s="20" t="n"/>
      <c r="L113" s="21" t="n"/>
      <c r="M113" s="20" t="n"/>
      <c r="N113" s="20" t="n"/>
      <c r="O113" s="2">
        <f>IF(G113="All",1,IFERROR(MATCH(G113,{"G","D","R","S"},0)+1,1))</f>
        <v/>
      </c>
      <c r="P113" s="2">
        <f>IF($B$12="","",IF(O113&lt;=$B$12,"yes","no"))</f>
        <v/>
      </c>
    </row>
    <row r="114" ht="125.5" customHeight="1">
      <c r="A114" s="18" t="inlineStr">
        <is>
          <t>S-17</t>
        </is>
      </c>
      <c r="B114" s="18" t="inlineStr">
        <is>
          <t>S</t>
        </is>
      </c>
      <c r="C114" s="19" t="inlineStr">
        <is>
          <t>Drilling contractor and rigs</t>
        </is>
      </c>
      <c r="D114" s="19" t="inlineStr">
        <is>
          <t>Is a contractor named in the programme-start release (established: Major Drilling, Boart Longyear, Foraco, Geodrill, Capital, DDH1 and similar; local; or company-owned rigs)? Rigs on site versus rigs announced and lead time ('rig expected' more than 8 weeks after a financing closed = red flag; rig and crew shortages stretch to months in a bull market). Contract basis: $/m all-in versus day-rate plus standby; mobilisation fee; minimum-metre commitment (forces drilling of poor targets); rig depth capacity at least equal to the deepest planned hole (D-16). Company-owned rigs: number, utilisation and whether the quoted $/m includes depreciation. Local crews are a social-licence positive; contractor domicile is not a quality signal.</t>
        </is>
      </c>
      <c r="E114" s="19" t="inlineStr">
        <is>
          <t>Programme news release; MD&amp;A; ask management.</t>
        </is>
      </c>
      <c r="F114" s="19" t="inlineStr">
        <is>
          <t>text</t>
        </is>
      </c>
      <c r="G114" s="18" t="inlineStr">
        <is>
          <t>D</t>
        </is>
      </c>
      <c r="H114" s="18" t="n">
        <v>2</v>
      </c>
      <c r="I114" s="19" t="inlineStr">
        <is>
          <t>Named contractor, rigs on site, per-metre contract = good</t>
        </is>
      </c>
      <c r="J114" s="18" t="inlineStr">
        <is>
          <t>R</t>
        </is>
      </c>
      <c r="K114" s="20" t="n"/>
      <c r="L114" s="21" t="n"/>
      <c r="M114" s="20" t="n"/>
      <c r="N114" s="20" t="n"/>
      <c r="O114" s="2">
        <f>IF(G114="All",1,IFERROR(MATCH(G114,{"G","D","R","S"},0)+1,1))</f>
        <v/>
      </c>
      <c r="P114" s="2">
        <f>IF($B$12="","",IF(O114&lt;=$B$12,"yes","no"))</f>
        <v/>
      </c>
    </row>
    <row r="115" ht="71.5" customHeight="1">
      <c r="A115" s="18" t="inlineStr">
        <is>
          <t>S-18</t>
        </is>
      </c>
      <c r="B115" s="18" t="inlineStr">
        <is>
          <t>S</t>
        </is>
      </c>
      <c r="C115" s="19" t="inlineStr">
        <is>
          <t>Nearest operating mill with spare capacity</t>
        </is>
      </c>
      <c r="D115" s="19" t="inlineStr">
        <is>
          <t>Distance (km) to an operating gold plant with spare capacity and its owner. Within roughly 50-100 km by road, a small deposit can be toll-treated or sold as satellite feed without building a plant, which lowers the size that matters (V-01) and creates a natural buyer (X-07). Check that the ore type matches the plant (oxide heap leach versus sulphide CIL, MP-05).</t>
        </is>
      </c>
      <c r="E115" s="19" t="inlineStr">
        <is>
          <t>Google Earth; the plant owner's technical report or annual report (nameplate capacity and throughput); ask management.</t>
        </is>
      </c>
      <c r="F115" s="19" t="inlineStr">
        <is>
          <t>km, owner</t>
        </is>
      </c>
      <c r="G115" s="18" t="inlineStr">
        <is>
          <t>D</t>
        </is>
      </c>
      <c r="H115" s="18" t="n">
        <v>3</v>
      </c>
      <c r="I115" s="19" t="inlineStr">
        <is>
          <t>Closer, with matching ore type, is better</t>
        </is>
      </c>
      <c r="J115" s="18" t="inlineStr"/>
      <c r="K115" s="20" t="n"/>
      <c r="L115" s="21" t="n"/>
      <c r="M115" s="20" t="n"/>
      <c r="N115" s="20" t="n"/>
      <c r="O115" s="2">
        <f>IF(G115="All",1,IFERROR(MATCH(G115,{"G","D","R","S"},0)+1,1))</f>
        <v/>
      </c>
      <c r="P115" s="2">
        <f>IF($B$12="","",IF(O115&lt;=$B$12,"yes","no"))</f>
        <v/>
      </c>
    </row>
    <row r="116" ht="31" customHeight="1">
      <c r="A116" s="14" t="inlineStr">
        <is>
          <t>T</t>
        </is>
      </c>
      <c r="B116" s="15" t="inlineStr">
        <is>
          <t>T</t>
        </is>
      </c>
      <c r="C116" s="14" t="inlineStr">
        <is>
          <t>TENURE, PERMITTING, COMMUNITY &amp; ENVIRONMENT</t>
        </is>
      </c>
      <c r="D116" s="16" t="inlineStr">
        <is>
          <t>The one risk that can wipe a junior out, and the ones that decide whether it can ever build a mine. Stage G onward unless tagged.</t>
        </is>
      </c>
      <c r="E116" s="17" t="n"/>
      <c r="F116" s="17" t="n"/>
      <c r="G116" s="17" t="n"/>
      <c r="H116" s="17" t="n"/>
      <c r="I116" s="17" t="n"/>
      <c r="J116" s="17" t="n"/>
      <c r="K116" s="17" t="n"/>
      <c r="L116" s="17" t="n"/>
      <c r="M116" s="17" t="n"/>
      <c r="N116" s="17" t="n"/>
      <c r="O116" s="17" t="n"/>
      <c r="P116" s="17" t="n"/>
    </row>
    <row r="117" ht="58" customHeight="1">
      <c r="A117" s="18" t="inlineStr">
        <is>
          <t>T-01</t>
        </is>
      </c>
      <c r="B117" s="18" t="inlineStr">
        <is>
          <t>T</t>
        </is>
      </c>
      <c r="C117" s="19" t="inlineStr">
        <is>
          <t>Tenure type and status</t>
        </is>
      </c>
      <c r="D117" s="19" t="inlineStr">
        <is>
          <t>Claim, exploration licence, concession or prospecting permit (rights differ); granted / application only / under renewal. Verify on the government cadastre, never the corporate deck: BC MTO, Ontario MLAS, Quebec GESTIM, WA Tengraph, Peru GEOCATMIN, Chile SERNAGEOMIN, Flexicadastre portals in many African states. An application is not ownership.</t>
        </is>
      </c>
      <c r="E117" s="19" t="inlineStr">
        <is>
          <t>Government cadastre; technical report item 4; JORC Table 1 section 2.</t>
        </is>
      </c>
      <c r="F117" s="19" t="inlineStr">
        <is>
          <t>Granted / Application / Under renewal</t>
        </is>
      </c>
      <c r="G117" s="18" t="inlineStr">
        <is>
          <t>G</t>
        </is>
      </c>
      <c r="H117" s="18" t="n">
        <v>1</v>
      </c>
      <c r="I117" s="19" t="inlineStr">
        <is>
          <t>Granted = good; application only or under renewal with no decision date = red flag</t>
        </is>
      </c>
      <c r="J117" s="18" t="inlineStr">
        <is>
          <t>R</t>
        </is>
      </c>
      <c r="K117" s="20" t="n"/>
      <c r="L117" s="21" t="n"/>
      <c r="M117" s="20" t="n"/>
      <c r="N117" s="20" t="n"/>
      <c r="O117" s="2">
        <f>IF(G117="All",1,IFERROR(MATCH(G117,{"G","D","R","S"},0)+1,1))</f>
        <v/>
      </c>
      <c r="P117" s="2">
        <f>IF($B$12="","",IF(O117&lt;=$B$12,"yes","no"))</f>
        <v/>
      </c>
    </row>
    <row r="118" ht="31" customHeight="1">
      <c r="A118" s="18" t="inlineStr">
        <is>
          <t>T-02</t>
        </is>
      </c>
      <c r="B118" s="18" t="inlineStr">
        <is>
          <t>T</t>
        </is>
      </c>
      <c r="C118" s="19" t="inlineStr">
        <is>
          <t>Expiry, renewals and relinquishment</t>
        </is>
      </c>
      <c r="D118" s="19" t="inlineStr">
        <is>
          <t>Expiry date, renewals remaining, compulsory relinquishment at renewal (common in Australia and much of Africa: state the %), and the conversion path to a mining licence (T-07).</t>
        </is>
      </c>
      <c r="E118" s="19" t="inlineStr">
        <is>
          <t>Technical report item 4; cadastre; licence conditions.</t>
        </is>
      </c>
      <c r="F118" s="19" t="inlineStr">
        <is>
          <t>date, # renewals, %</t>
        </is>
      </c>
      <c r="G118" s="18" t="inlineStr">
        <is>
          <t>G</t>
        </is>
      </c>
      <c r="H118" s="18" t="n">
        <v>2</v>
      </c>
      <c r="I118" s="19" t="inlineStr">
        <is>
          <t>Long remaining term = good</t>
        </is>
      </c>
      <c r="J118" s="18" t="inlineStr"/>
      <c r="K118" s="20" t="n"/>
      <c r="L118" s="21" t="n"/>
      <c r="M118" s="20" t="n"/>
      <c r="N118" s="20" t="n"/>
      <c r="O118" s="2">
        <f>IF(G118="All",1,IFERROR(MATCH(G118,{"G","D","R","S"},0)+1,1))</f>
        <v/>
      </c>
      <c r="P118" s="2">
        <f>IF($B$12="","",IF(O118&lt;=$B$12,"yes","no"))</f>
        <v/>
      </c>
    </row>
    <row r="119" ht="44.5" customHeight="1">
      <c r="A119" s="18" t="inlineStr">
        <is>
          <t>T-03</t>
        </is>
      </c>
      <c r="B119" s="18" t="inlineStr">
        <is>
          <t>T</t>
        </is>
      </c>
      <c r="C119" s="19" t="inlineStr">
        <is>
          <t>Work or expenditure commitments and fees</t>
        </is>
      </c>
      <c r="D119" s="19" t="inlineStr">
        <is>
          <t>Annual minimum expenditure or work commitment and the % met; annual rent or fees paid. Unmet commitments = forfeiture risk (red flag). Compare commitments across the whole land package with cash (F-03).</t>
        </is>
      </c>
      <c r="E119" s="19" t="inlineStr">
        <is>
          <t>Technical report item 4; licence conditions; financial statements commitments note; MD&amp;A.</t>
        </is>
      </c>
      <c r="F119" s="19" t="inlineStr">
        <is>
          <t>$ p.a., % met</t>
        </is>
      </c>
      <c r="G119" s="18" t="inlineStr">
        <is>
          <t>G</t>
        </is>
      </c>
      <c r="H119" s="18" t="n">
        <v>2</v>
      </c>
      <c r="I119" s="19" t="inlineStr">
        <is>
          <t>Met and affordable = good; unmet = red flag</t>
        </is>
      </c>
      <c r="J119" s="18" t="inlineStr">
        <is>
          <t>R</t>
        </is>
      </c>
      <c r="K119" s="20" t="n"/>
      <c r="L119" s="21" t="n"/>
      <c r="M119" s="20" t="n"/>
      <c r="N119" s="20" t="n"/>
      <c r="O119" s="2">
        <f>IF(G119="All",1,IFERROR(MATCH(G119,{"G","D","R","S"},0)+1,1))</f>
        <v/>
      </c>
      <c r="P119" s="2">
        <f>IF($B$12="","",IF(O119&lt;=$B$12,"yes","no"))</f>
        <v/>
      </c>
    </row>
    <row r="120" ht="58" customHeight="1">
      <c r="A120" s="18" t="inlineStr">
        <is>
          <t>T-04</t>
        </is>
      </c>
      <c r="B120" s="18" t="inlineStr">
        <is>
          <t>T</t>
        </is>
      </c>
      <c r="C120" s="19" t="inlineStr">
        <is>
          <t>Title verification and overlaps</t>
        </is>
      </c>
      <c r="D120" s="19" t="inlineStr">
        <is>
          <t>Independent legal title opinion referenced in technical report item 4? Any overlapping or competing claims, prior encumbrances, unresolved vendor claims, litigation, or overlapping non-mining concessions (forestry, oil and gas, agriculture)? Pending title litigation = red flag.</t>
        </is>
      </c>
      <c r="E120" s="19" t="inlineStr">
        <is>
          <t>Technical report item 4; cadastre map; AIF / MD&amp;A risk factors and legal proceedings.</t>
        </is>
      </c>
      <c r="F120" s="19" t="inlineStr">
        <is>
          <t>Y/N + description</t>
        </is>
      </c>
      <c r="G120" s="18" t="inlineStr">
        <is>
          <t>G</t>
        </is>
      </c>
      <c r="H120" s="18" t="n">
        <v>2</v>
      </c>
      <c r="I120" s="19" t="inlineStr">
        <is>
          <t>Title opinion Y = good; overlaps or encumbrances = caution; pending title litigation = red flag</t>
        </is>
      </c>
      <c r="J120" s="18" t="inlineStr">
        <is>
          <t>R</t>
        </is>
      </c>
      <c r="K120" s="20" t="n"/>
      <c r="L120" s="21" t="n"/>
      <c r="M120" s="20" t="n"/>
      <c r="N120" s="20" t="n"/>
      <c r="O120" s="2">
        <f>IF(G120="All",1,IFERROR(MATCH(G120,{"G","D","R","S"},0)+1,1))</f>
        <v/>
      </c>
      <c r="P120" s="2">
        <f>IF($B$12="","",IF(O120&lt;=$B$12,"yes","no"))</f>
        <v/>
      </c>
    </row>
    <row r="121" ht="31" customHeight="1">
      <c r="A121" s="18" t="inlineStr">
        <is>
          <t>T-05</t>
        </is>
      </c>
      <c r="B121" s="18" t="inlineStr">
        <is>
          <t>T</t>
        </is>
      </c>
      <c r="C121" s="19" t="inlineStr">
        <is>
          <t>Licence in good standing and compliance record</t>
        </is>
      </c>
      <c r="D121" s="19" t="inlineStr">
        <is>
          <t>Any permit violations, stop-work orders, environmental fines or licence-fee arrears in the last 5 years? Y = red flag.</t>
        </is>
      </c>
      <c r="E121" s="19" t="inlineStr">
        <is>
          <t>Regulator registers; MD&amp;A / AIF risk factors; news search.</t>
        </is>
      </c>
      <c r="F121" s="19" t="inlineStr">
        <is>
          <t>Y/N</t>
        </is>
      </c>
      <c r="G121" s="18" t="inlineStr">
        <is>
          <t>G</t>
        </is>
      </c>
      <c r="H121" s="18" t="n">
        <v>2</v>
      </c>
      <c r="I121" s="19" t="inlineStr">
        <is>
          <t>N = good; Y = red flag</t>
        </is>
      </c>
      <c r="J121" s="18" t="inlineStr">
        <is>
          <t>R</t>
        </is>
      </c>
      <c r="K121" s="20" t="n"/>
      <c r="L121" s="21" t="n"/>
      <c r="M121" s="20" t="n"/>
      <c r="N121" s="20" t="n"/>
      <c r="O121" s="2">
        <f>IF(G121="All",1,IFERROR(MATCH(G121,{"G","D","R","S"},0)+1,1))</f>
        <v/>
      </c>
      <c r="P121" s="2">
        <f>IF($B$12="","",IF(O121&lt;=$B$12,"yes","no"))</f>
        <v/>
      </c>
    </row>
    <row r="122" ht="98.5" customHeight="1">
      <c r="A122" s="18" t="inlineStr">
        <is>
          <t>T-06</t>
        </is>
      </c>
      <c r="B122" s="18" t="inlineStr">
        <is>
          <t>T</t>
        </is>
      </c>
      <c r="C122" s="19" t="inlineStr">
        <is>
          <t>Drill and exploration permits</t>
        </is>
      </c>
      <c r="D122" s="19" t="inlineStr">
        <is>
          <t>Status: in hand / application submitted (date) / 'expected' with no date. Indicative timelines (as of 2026; verify): Ontario exploration plan ~30 days, permit ~50 days; Nevada notice for under 5 acres of disturbance ~2 weeks versus a plan of operations with NEPA 1-3 years; BC notice of work several months to over a year where First Nations consultation is required; many African and Latin American jurisdictions 3-12 months. 'Permit expected shortly' repeated over two or more quarters = red flag; drilling financed before the permit exists = red flag. Is the permit timed to the season (S-09)?</t>
        </is>
      </c>
      <c r="E122" s="19" t="inlineStr">
        <is>
          <t>Permit news releases; regulator portal; MD&amp;A.</t>
        </is>
      </c>
      <c r="F122" s="19" t="inlineStr">
        <is>
          <t>select + date</t>
        </is>
      </c>
      <c r="G122" s="18" t="inlineStr">
        <is>
          <t>G</t>
        </is>
      </c>
      <c r="H122" s="18" t="n">
        <v>1</v>
      </c>
      <c r="I122" s="19" t="inlineStr">
        <is>
          <t>In hand = good; repeated 'expected' = red flag</t>
        </is>
      </c>
      <c r="J122" s="18" t="inlineStr">
        <is>
          <t>R</t>
        </is>
      </c>
      <c r="K122" s="20" t="n"/>
      <c r="L122" s="21" t="n"/>
      <c r="M122" s="20" t="n"/>
      <c r="N122" s="20" t="n"/>
      <c r="O122" s="2">
        <f>IF(G122="All",1,IFERROR(MATCH(G122,{"G","D","R","S"},0)+1,1))</f>
        <v/>
      </c>
      <c r="P122" s="2">
        <f>IF($B$12="","",IF(O122&lt;=$B$12,"yes","no"))</f>
        <v/>
      </c>
    </row>
    <row r="123" ht="85" customHeight="1">
      <c r="A123" s="18" t="inlineStr">
        <is>
          <t>T-07</t>
        </is>
      </c>
      <c r="B123" s="18" t="inlineStr">
        <is>
          <t>T</t>
        </is>
      </c>
      <c r="C123" s="19" t="inlineStr">
        <is>
          <t>Permitting critical path to a mining licence</t>
        </is>
      </c>
      <c r="D123" s="19" t="inlineStr">
        <is>
          <t>Which authority issues the mining licence, which studies it requires (ESIA, feasibility, community agreement), and how many years from discovery to first production are typical in this jurisdiction. Rule of thumb: the global average from discovery to production is roughly 16 years (S&amp;P Global 2023 study of 127 mines: 15.7 years; verify); under 10 years is exceptional. Country-level code changes, moratoria and revocations: J-02. Not a screen at grassroots stage; decisive from resource stage.</t>
        </is>
      </c>
      <c r="E123" s="19" t="inlineStr">
        <is>
          <t>Mining code; precedent projects in the jurisdiction; technical report item 20.</t>
        </is>
      </c>
      <c r="F123" s="19" t="inlineStr">
        <is>
          <t>text, years</t>
        </is>
      </c>
      <c r="G123" s="18" t="inlineStr">
        <is>
          <t>D</t>
        </is>
      </c>
      <c r="H123" s="18" t="n">
        <v>3</v>
      </c>
      <c r="I123" s="19" t="inlineStr">
        <is>
          <t>Shorter and clearer is better</t>
        </is>
      </c>
      <c r="J123" s="18" t="inlineStr"/>
      <c r="K123" s="20" t="n"/>
      <c r="L123" s="21" t="n"/>
      <c r="M123" s="20" t="n"/>
      <c r="N123" s="20" t="n"/>
      <c r="O123" s="2">
        <f>IF(G123="All",1,IFERROR(MATCH(G123,{"G","D","R","S"},0)+1,1))</f>
        <v/>
      </c>
      <c r="P123" s="2">
        <f>IF($B$12="","",IF(O123&lt;=$B$12,"yes","no"))</f>
        <v/>
      </c>
    </row>
    <row r="124" ht="58" customHeight="1">
      <c r="A124" s="18" t="inlineStr">
        <is>
          <t>T-08</t>
        </is>
      </c>
      <c r="B124" s="18" t="inlineStr">
        <is>
          <t>T</t>
        </is>
      </c>
      <c r="C124" s="19" t="inlineStr">
        <is>
          <t>Surface rights and land access</t>
        </is>
      </c>
      <c r="D124" s="19" t="inlineStr">
        <is>
          <t>In most jurisdictions mineral rights are granted by the state separately from the surface, which belongs to private, communal or state owners; an exploration licence does not by itself grant access. Who owns the surface? Is an access or compensation agreement signed? Farmland or dwellings on the target area (resettlement risk, S-10, R-18)?</t>
        </is>
      </c>
      <c r="E124" s="19" t="inlineStr">
        <is>
          <t>Technical report item 4; ask management.</t>
        </is>
      </c>
      <c r="F124" s="19" t="inlineStr">
        <is>
          <t>private / communal / state + Y/N</t>
        </is>
      </c>
      <c r="G124" s="18" t="inlineStr">
        <is>
          <t>G</t>
        </is>
      </c>
      <c r="H124" s="18" t="n">
        <v>2</v>
      </c>
      <c r="I124" s="19" t="inlineStr">
        <is>
          <t>Agreement signed = good; dwellings or farmland on the target = caution</t>
        </is>
      </c>
      <c r="J124" s="18" t="inlineStr"/>
      <c r="K124" s="20" t="n"/>
      <c r="L124" s="21" t="n"/>
      <c r="M124" s="20" t="n"/>
      <c r="N124" s="20" t="n"/>
      <c r="O124" s="2">
        <f>IF(G124="All",1,IFERROR(MATCH(G124,{"G","D","R","S"},0)+1,1))</f>
        <v/>
      </c>
      <c r="P124" s="2">
        <f>IF($B$12="","",IF(O124&lt;=$B$12,"yes","no"))</f>
        <v/>
      </c>
    </row>
    <row r="125" ht="58" customHeight="1">
      <c r="A125" s="18" t="inlineStr">
        <is>
          <t>T-09</t>
        </is>
      </c>
      <c r="B125" s="18" t="inlineStr">
        <is>
          <t>T</t>
        </is>
      </c>
      <c r="C125" s="19" t="inlineStr">
        <is>
          <t>Artisanal and illegal mining</t>
        </is>
      </c>
      <c r="D125" s="19" t="inlineStr">
        <is>
          <t>Present on the property? Scale (number of miners), legal status, on the target or elsewhere; co-existence or formalisation plan; conflict incidents. Decisive in Ghana (galamsey), Burkina Faso, Peru and Colombia: eviction is often politically impossible.</t>
        </is>
      </c>
      <c r="E125" s="19" t="inlineStr">
        <is>
          <t>Technical report item 4; local press; ask management.</t>
        </is>
      </c>
      <c r="F125" s="19" t="inlineStr">
        <is>
          <t>Y/N + #</t>
        </is>
      </c>
      <c r="G125" s="18" t="inlineStr">
        <is>
          <t>G</t>
        </is>
      </c>
      <c r="H125" s="18" t="n">
        <v>2</v>
      </c>
      <c r="I125" s="19" t="inlineStr">
        <is>
          <t>None, or a formalisation plan = good; artisanal mining on the target with conflict incidents and no plan = red flag</t>
        </is>
      </c>
      <c r="J125" s="18" t="inlineStr">
        <is>
          <t>R</t>
        </is>
      </c>
      <c r="K125" s="20" t="n"/>
      <c r="L125" s="21" t="n"/>
      <c r="M125" s="20" t="n"/>
      <c r="N125" s="20" t="n"/>
      <c r="O125" s="2">
        <f>IF(G125="All",1,IFERROR(MATCH(G125,{"G","D","R","S"},0)+1,1))</f>
        <v/>
      </c>
      <c r="P125" s="2">
        <f>IF($B$12="","",IF(O125&lt;=$B$12,"yes","no"))</f>
        <v/>
      </c>
    </row>
    <row r="126" ht="85" customHeight="1">
      <c r="A126" s="18" t="inlineStr">
        <is>
          <t>T-10</t>
        </is>
      </c>
      <c r="B126" s="18" t="inlineStr">
        <is>
          <t>T</t>
        </is>
      </c>
      <c r="C126" s="19" t="inlineStr">
        <is>
          <t>Indigenous and traditional-owner rights</t>
        </is>
      </c>
      <c r="D126" s="19" t="inlineStr">
        <is>
          <t>Whose traditional territory is the project on (native-land.ca, national treaty and native-title maps)? Does the jurisdiction impose a duty to consult or free, prior and informed consent (Canada: constitutional duty to consult, s.35, and BC's DRIPA; Australia: native title and ILUAs; ILO 169 consulta previa in Peru, Colombia, Chile)? Has the company signed an exploration agreement, MoU or ILUA, with what counterparty and date? In Canada an agreement with the First Nation is normal practice at drill stage.</t>
        </is>
      </c>
      <c r="E126" s="19" t="inlineStr">
        <is>
          <t>native-land.ca; treaty and native-title maps; news releases; technical report item 4 access risks.</t>
        </is>
      </c>
      <c r="F126" s="19" t="inlineStr">
        <is>
          <t>None / Engagement started / Signed agreement</t>
        </is>
      </c>
      <c r="G126" s="18" t="inlineStr">
        <is>
          <t>G</t>
        </is>
      </c>
      <c r="H126" s="18" t="n">
        <v>1</v>
      </c>
      <c r="I126" s="19" t="inlineStr">
        <is>
          <t>Signed agreement = good; nothing in a consultation jurisdiction = red flag</t>
        </is>
      </c>
      <c r="J126" s="18" t="inlineStr">
        <is>
          <t>R</t>
        </is>
      </c>
      <c r="K126" s="20" t="n"/>
      <c r="L126" s="21" t="n"/>
      <c r="M126" s="20" t="n"/>
      <c r="N126" s="20" t="n"/>
      <c r="O126" s="2">
        <f>IF(G126="All",1,IFERROR(MATCH(G126,{"G","D","R","S"},0)+1,1))</f>
        <v/>
      </c>
      <c r="P126" s="2">
        <f>IF($B$12="","",IF(O126&lt;=$B$12,"yes","no"))</f>
        <v/>
      </c>
    </row>
    <row r="127" ht="98.5" customHeight="1">
      <c r="A127" s="18" t="inlineStr">
        <is>
          <t>T-11</t>
        </is>
      </c>
      <c r="B127" s="18" t="inlineStr">
        <is>
          <t>T</t>
        </is>
      </c>
      <c r="C127" s="19" t="inlineStr">
        <is>
          <t>Community engagement and social-licence evidence</t>
        </is>
      </c>
      <c r="D127" s="19" t="inlineStr">
        <is>
          <t>Evidence for: community liaison officer on staff; local hires as % of site workforce; signed community or exploration agreement; consultation record in the MD&amp;A. Evidence against: search the project name with 'blockade', 'protest', 'consulta', 'NGO'; check EJAtlas and the Business &amp; Human Rights Resource Centre. A road blockade, court injunction or municipal or indigenous opposition vote in the last 5 years = High risk (red flag). Social engagement starts with exploration; licence to operate is consistently a top-5 risk in EY's annual 'Top 10 business risks and opportunities for mining and metals' survey.</t>
        </is>
      </c>
      <c r="E127" s="19" t="inlineStr">
        <is>
          <t>Company disclosure; EJAtlas; Business &amp; Human Rights Resource Centre; local press.</t>
        </is>
      </c>
      <c r="F127" s="19" t="inlineStr">
        <is>
          <t>Low / Medium / High</t>
        </is>
      </c>
      <c r="G127" s="18" t="inlineStr">
        <is>
          <t>G</t>
        </is>
      </c>
      <c r="H127" s="18" t="n">
        <v>1</v>
      </c>
      <c r="I127" s="19" t="inlineStr">
        <is>
          <t>Low = good; High = red flag</t>
        </is>
      </c>
      <c r="J127" s="18" t="inlineStr">
        <is>
          <t>R</t>
        </is>
      </c>
      <c r="K127" s="20" t="n"/>
      <c r="L127" s="21" t="n"/>
      <c r="M127" s="20" t="n"/>
      <c r="N127" s="20" t="n"/>
      <c r="O127" s="2">
        <f>IF(G127="All",1,IFERROR(MATCH(G127,{"G","D","R","S"},0)+1,1))</f>
        <v/>
      </c>
      <c r="P127" s="2">
        <f>IF($B$12="","",IF(O127&lt;=$B$12,"yes","no"))</f>
        <v/>
      </c>
    </row>
    <row r="128" ht="71.5" customHeight="1">
      <c r="A128" s="18" t="inlineStr">
        <is>
          <t>T-12</t>
        </is>
      </c>
      <c r="B128" s="18" t="inlineStr">
        <is>
          <t>T</t>
        </is>
      </c>
      <c r="C128" s="19" t="inlineStr">
        <is>
          <t>Protected areas and cultural heritage overlap</t>
        </is>
      </c>
      <c r="D128" s="19" t="inlineStr">
        <is>
          <t>Does any part of the licence overlap a national park or reserve, World Heritage buffer, Ramsar wetland, Key Biodiversity Area, forest reserve (e.g. Ghana), glacier zone (Argentina) or registered heritage site? Has a heritage or archaeological survey been completed before ground disturbance (Juukan Gorge 2020 shows the consequence)? Any overlap = permitting risk or outright exclusion.</t>
        </is>
      </c>
      <c r="E128" s="19" t="inlineStr">
        <is>
          <t>Protected Planet (WDPA); national park and heritage registers; technical report item 4.</t>
        </is>
      </c>
      <c r="F128" s="19" t="inlineStr">
        <is>
          <t>Y/N, % of licence</t>
        </is>
      </c>
      <c r="G128" s="18" t="inlineStr">
        <is>
          <t>G</t>
        </is>
      </c>
      <c r="H128" s="18" t="n">
        <v>2</v>
      </c>
      <c r="I128" s="19" t="inlineStr">
        <is>
          <t>No overlap and heritage survey done before disturbance = good; any overlap = red flag</t>
        </is>
      </c>
      <c r="J128" s="18" t="inlineStr">
        <is>
          <t>R</t>
        </is>
      </c>
      <c r="K128" s="20" t="n"/>
      <c r="L128" s="21" t="n"/>
      <c r="M128" s="20" t="n"/>
      <c r="N128" s="20" t="n"/>
      <c r="O128" s="2">
        <f>IF(G128="All",1,IFERROR(MATCH(G128,{"G","D","R","S"},0)+1,1))</f>
        <v/>
      </c>
      <c r="P128" s="2">
        <f>IF($B$12="","",IF(O128&lt;=$B$12,"yes","no"))</f>
        <v/>
      </c>
    </row>
    <row r="129" ht="85" customHeight="1">
      <c r="A129" s="18" t="inlineStr">
        <is>
          <t>T-13</t>
        </is>
      </c>
      <c r="B129" s="18" t="inlineStr">
        <is>
          <t>T</t>
        </is>
      </c>
      <c r="C129" s="19" t="inlineStr">
        <is>
          <t>Legacy environmental liabilities (brownfield)</t>
        </is>
      </c>
      <c r="D129" s="19" t="inlineStr">
        <is>
          <t>Who is legally responsible for historic tailings, waste dumps, acid rock drainage and open shafts: the state, the previous owner or the company (depends on local law and the purchase agreement)? Reclamation bond size ('reclamation deposit' on the balance sheet); regulator orders or clean-up notices; stability and dam class of any old tailings facility. Liabilities are rarely a balance-sheet line at exploration stage; read technical report items 4 and 20 and the decommissioning-provision note.</t>
        </is>
      </c>
      <c r="E129" s="19" t="inlineStr">
        <is>
          <t>Technical report items 4 and 20; financial statements decommissioning note; regulator registers.</t>
        </is>
      </c>
      <c r="F129" s="19" t="inlineStr">
        <is>
          <t>liable party + m$ (bond / estimated liability)</t>
        </is>
      </c>
      <c r="G129" s="18" t="inlineStr">
        <is>
          <t>G</t>
        </is>
      </c>
      <c r="H129" s="18" t="n">
        <v>2</v>
      </c>
      <c r="I129" s="19" t="inlineStr">
        <is>
          <t>None, or state-retained = good; company-owned liability with no bond, or a regulator clean-up order = red flag</t>
        </is>
      </c>
      <c r="J129" s="18" t="inlineStr">
        <is>
          <t>R</t>
        </is>
      </c>
      <c r="K129" s="20" t="n"/>
      <c r="L129" s="21" t="n"/>
      <c r="M129" s="20" t="n"/>
      <c r="N129" s="20" t="n"/>
      <c r="O129" s="2">
        <f>IF(G129="All",1,IFERROR(MATCH(G129,{"G","D","R","S"},0)+1,1))</f>
        <v/>
      </c>
      <c r="P129" s="2">
        <f>IF($B$12="","",IF(O129&lt;=$B$12,"yes","no"))</f>
        <v/>
      </c>
    </row>
    <row r="130" ht="98.5" customHeight="1">
      <c r="A130" s="18" t="inlineStr">
        <is>
          <t>T-14</t>
        </is>
      </c>
      <c r="B130" s="18" t="inlineStr">
        <is>
          <t>T</t>
        </is>
      </c>
      <c r="C130" s="19" t="inlineStr">
        <is>
          <t>Environmental baseline and permitting studies</t>
        </is>
      </c>
      <c r="D130" s="19" t="inlineStr">
        <is>
          <t>A full ESIA is a mining-licence deliverable (2-5 years, typically at PFS or FS), so 'no' is normal for an explorer. Ask instead: is an environmental permit or management plan attached to the exploration permit (standard for drilling in Peru and most Latin American and African codes; Chile above a programme-size threshold; Canadian and Australian permits carry rehabilitation and reclamation-security conditions instead)? Has baseline monitoring (water quality, flora and fauna, heritage) begun, ideally two seasonal years before a PEA? Starting early shortens the later critical path.</t>
        </is>
      </c>
      <c r="E130" s="19" t="inlineStr">
        <is>
          <t>Permit conditions; technical report item 20; sustainability page.</t>
        </is>
      </c>
      <c r="F130" s="19" t="inlineStr">
        <is>
          <t>None / EMP / Baseline started / ESIA submitted / approved</t>
        </is>
      </c>
      <c r="G130" s="18" t="inlineStr">
        <is>
          <t>R</t>
        </is>
      </c>
      <c r="H130" s="18" t="n">
        <v>2</v>
      </c>
      <c r="I130" s="19" t="inlineStr">
        <is>
          <t>Baseline started by PEA = good</t>
        </is>
      </c>
      <c r="J130" s="18" t="inlineStr"/>
      <c r="K130" s="20" t="n"/>
      <c r="L130" s="21" t="n"/>
      <c r="M130" s="20" t="n"/>
      <c r="N130" s="20" t="n"/>
      <c r="O130" s="2">
        <f>IF(G130="All",1,IFERROR(MATCH(G130,{"G","D","R","S"},0)+1,1))</f>
        <v/>
      </c>
      <c r="P130" s="2">
        <f>IF($B$12="","",IF(O130&lt;=$B$12,"yes","no"))</f>
        <v/>
      </c>
    </row>
    <row r="131" ht="85" customHeight="1">
      <c r="A131" s="18" t="inlineStr">
        <is>
          <t>T-15</t>
        </is>
      </c>
      <c r="B131" s="18" t="inlineStr">
        <is>
          <t>T</t>
        </is>
      </c>
      <c r="C131" s="19" t="inlineStr">
        <is>
          <t>ESG framework and accountability</t>
        </is>
      </c>
      <c r="D131" s="19" t="inlineStr">
        <is>
          <t>Meaningful at exploration stage: PDAC e3 Plus; Mining Association of Canada 'Towards Sustainable Mining' (TSM) protocols (written for operating mines, rare for explorers); ISO 14001; IFC Performance Standards matter once project finance nears. Ask who on the board owns ESG, whether there is a site-level environmental management plan, and whether the company has ever reported an incident. A policy without a named responsible person and an incident record is decoration.</t>
        </is>
      </c>
      <c r="E131" s="19" t="inlineStr">
        <is>
          <t>Website sustainability page; annual report; ask management.</t>
        </is>
      </c>
      <c r="F131" s="19" t="inlineStr">
        <is>
          <t>codes + owner</t>
        </is>
      </c>
      <c r="G131" s="18" t="inlineStr">
        <is>
          <t>G</t>
        </is>
      </c>
      <c r="H131" s="18" t="n">
        <v>3</v>
      </c>
      <c r="I131" s="19" t="inlineStr">
        <is>
          <t>Named framework and owner = good</t>
        </is>
      </c>
      <c r="J131" s="18" t="inlineStr"/>
      <c r="K131" s="20" t="n"/>
      <c r="L131" s="21" t="n"/>
      <c r="M131" s="20" t="n"/>
      <c r="N131" s="20" t="n"/>
      <c r="O131" s="2">
        <f>IF(G131="All",1,IFERROR(MATCH(G131,{"G","D","R","S"},0)+1,1))</f>
        <v/>
      </c>
      <c r="P131" s="2">
        <f>IF($B$12="","",IF(O131&lt;=$B$12,"yes","no"))</f>
        <v/>
      </c>
    </row>
    <row r="132" ht="112" customHeight="1">
      <c r="A132" s="18" t="inlineStr">
        <is>
          <t>T-16</t>
        </is>
      </c>
      <c r="B132" s="18" t="inlineStr">
        <is>
          <t>T</t>
        </is>
      </c>
      <c r="C132" s="19" t="inlineStr">
        <is>
          <t>History under previous owners</t>
        </is>
      </c>
      <c r="D132" s="19" t="inlineStr">
        <is>
          <t>Prior owners and the project's past only (current opposition is scored in T-11, current liabilities in T-13; do not count the same fact twice): search the project's former names and previous owners in EJAtlas, MiningWatch Canada, the Business &amp; Human Rights Resource Centre, local-language press and court records for conflicts, contamination or licence disputes older than the 5-year window of T-11; compare with technical report item 6 (history), item 4 (known environmental liabilities) and item 20, and the AIF risk factors. A documented past conflict, contamination case or court action that the company does not disclose = red flag. Use AI tools only to generate search terms, never as a source.</t>
        </is>
      </c>
      <c r="E132" s="19" t="inlineStr">
        <is>
          <t>EJAtlas; MiningWatch; BHRRC; local press; technical report.</t>
        </is>
      </c>
      <c r="F132" s="19" t="inlineStr">
        <is>
          <t>Y/N</t>
        </is>
      </c>
      <c r="G132" s="18" t="inlineStr">
        <is>
          <t>G</t>
        </is>
      </c>
      <c r="H132" s="18" t="n">
        <v>2</v>
      </c>
      <c r="I132" s="19" t="inlineStr">
        <is>
          <t>None found, or fully disclosed = good; undisclosed past conflict or contamination = red flag</t>
        </is>
      </c>
      <c r="J132" s="18" t="inlineStr">
        <is>
          <t>R</t>
        </is>
      </c>
      <c r="K132" s="20" t="n"/>
      <c r="L132" s="21" t="n"/>
      <c r="M132" s="20" t="n"/>
      <c r="N132" s="20" t="n"/>
      <c r="O132" s="2">
        <f>IF(G132="All",1,IFERROR(MATCH(G132,{"G","D","R","S"},0)+1,1))</f>
        <v/>
      </c>
      <c r="P132" s="2">
        <f>IF($B$12="","",IF(O132&lt;=$B$12,"yes","no"))</f>
        <v/>
      </c>
    </row>
    <row r="133" ht="44.5" customHeight="1">
      <c r="A133" s="14" t="inlineStr">
        <is>
          <t>G</t>
        </is>
      </c>
      <c r="B133" s="15" t="inlineStr">
        <is>
          <t>G</t>
        </is>
      </c>
      <c r="C133" s="14" t="inlineStr">
        <is>
          <t>GEOLOGY, TARGETING &amp; DATA INTEGRITY</t>
        </is>
      </c>
      <c r="D133" s="16" t="inlineStr">
        <is>
          <t>Is the target generated properly, and can the numbers be trusted. Stage G onward. Thresholds in sections G, D, E and R are calibrated for gold; do not apply them to copper, lithium or uranium projects.</t>
        </is>
      </c>
      <c r="E133" s="17" t="n"/>
      <c r="F133" s="17" t="n"/>
      <c r="G133" s="17" t="n"/>
      <c r="H133" s="17" t="n"/>
      <c r="I133" s="17" t="n"/>
      <c r="J133" s="17" t="n"/>
      <c r="K133" s="17" t="n"/>
      <c r="L133" s="17" t="n"/>
      <c r="M133" s="17" t="n"/>
      <c r="N133" s="17" t="n"/>
      <c r="O133" s="17" t="n"/>
      <c r="P133" s="17" t="n"/>
    </row>
    <row r="134" ht="193" customHeight="1">
      <c r="A134" s="18" t="inlineStr">
        <is>
          <t>G-01</t>
        </is>
      </c>
      <c r="B134" s="18" t="inlineStr">
        <is>
          <t>G</t>
        </is>
      </c>
      <c r="C134" s="19" t="inlineStr">
        <is>
          <t>Deposit model named, with its consequences</t>
        </is>
      </c>
      <c r="D134" s="19" t="inlineStr">
        <is>
          <t>The company must name the deposit type and the sheet must be read accordingly: porphyry (size, but capital-hungry: expect tens of millions before a resource); orogenic / greenstone-hosted gold (depth extent, structural complexity, often narrow); low-sulphidation epithermal (bonanza grades but narrow, D-10); high-sulphidation epithermal (often refractory, MP-05); Carlin-type; intrusion-related; skarn; VMS and IOCG (copper-dominant: gold thresholds do not apply). Is the claimed type consistent with the pathfinders (trace elements that travel with gold) and alteration reported? LS epithermal: As-Sb-Hg-Tl-Se, adularia-sericite, banded or colloform quartz veins; Carlin: As-Sb-Hg-Tl in decalcified, silicified (jasperoid) carbonate rocks, no quartz veins; HS: Cu-As-Bi-Te with vuggy silica and alunite-kaolinite; porphyry: potassic-phyllic zoning, Cu-Mo-Au; orogenic: As-Sb-W-Bi-Te with carbonate-sericite alteration and quartz veins. Surface Hg-As-Sb with chalcedony or sinter marks the top of an epithermal system: the boiling zone with the best grades typically lies 100-300 m deeper (rule of thumb). Inconsistent model = red flag for model-shopping (changing the story to fit the data).</t>
        </is>
      </c>
      <c r="E134" s="19" t="inlineStr">
        <is>
          <t>Technical report items 7-8; technical presentation; news-release pathfinder data.</t>
        </is>
      </c>
      <c r="F134" s="19" t="inlineStr">
        <is>
          <t>type + Y/N</t>
        </is>
      </c>
      <c r="G134" s="18" t="inlineStr">
        <is>
          <t>G</t>
        </is>
      </c>
      <c r="H134" s="18" t="n">
        <v>1</v>
      </c>
      <c r="I134" s="19" t="inlineStr">
        <is>
          <t>Named and consistent = good; inconsistent = red flag</t>
        </is>
      </c>
      <c r="J134" s="18" t="inlineStr">
        <is>
          <t>R</t>
        </is>
      </c>
      <c r="K134" s="20" t="n"/>
      <c r="L134" s="21" t="n"/>
      <c r="M134" s="20" t="n"/>
      <c r="N134" s="20" t="n"/>
      <c r="O134" s="2">
        <f>IF(G134="All",1,IFERROR(MATCH(G134,{"G","D","R","S"},0)+1,1))</f>
        <v/>
      </c>
      <c r="P134" s="2">
        <f>IF($B$12="","",IF(O134&lt;=$B$12,"yes","no"))</f>
        <v/>
      </c>
    </row>
    <row r="135" ht="44.5" customHeight="1">
      <c r="A135" s="18" t="inlineStr">
        <is>
          <t>G-02</t>
        </is>
      </c>
      <c r="B135" s="18" t="inlineStr">
        <is>
          <t>G</t>
        </is>
      </c>
      <c r="C135" s="19" t="inlineStr">
        <is>
          <t>Geological model explained</t>
        </is>
      </c>
      <c r="D135" s="19" t="inlineStr">
        <is>
          <t>The deck names the model, shows a schematic with the project's position in it and, once drilled, long sections with ore-shoot geometry (the shape and plunge of the high-grade zones). The company should be able to explain the framework, not only the commodity.</t>
        </is>
      </c>
      <c r="E135" s="19" t="inlineStr">
        <is>
          <t>Technical presentation; technical report items 7-8.</t>
        </is>
      </c>
      <c r="F135" s="19" t="inlineStr">
        <is>
          <t>Y/N</t>
        </is>
      </c>
      <c r="G135" s="18" t="inlineStr">
        <is>
          <t>G</t>
        </is>
      </c>
      <c r="H135" s="18" t="n">
        <v>2</v>
      </c>
      <c r="I135" s="19" t="inlineStr">
        <is>
          <t>Y = good</t>
        </is>
      </c>
      <c r="J135" s="18" t="inlineStr"/>
      <c r="K135" s="20" t="n"/>
      <c r="L135" s="21" t="n"/>
      <c r="M135" s="20" t="n"/>
      <c r="N135" s="20" t="n"/>
      <c r="O135" s="2">
        <f>IF(G135="All",1,IFERROR(MATCH(G135,{"G","D","R","S"},0)+1,1))</f>
        <v/>
      </c>
      <c r="P135" s="2">
        <f>IF($B$12="","",IF(O135&lt;=$B$12,"yes","no"))</f>
        <v/>
      </c>
    </row>
    <row r="136" ht="166" customHeight="1">
      <c r="A136" s="18" t="inlineStr">
        <is>
          <t>G-03</t>
        </is>
      </c>
      <c r="B136" s="18" t="inlineStr">
        <is>
          <t>G</t>
        </is>
      </c>
      <c r="C136" s="19" t="inlineStr">
        <is>
          <t>Targeting toolkit matched to the deposit type</t>
        </is>
      </c>
      <c r="D136" s="19" t="inlineStr">
        <is>
          <t>Count the expected tools present on the target map. Porphyry Cu-Au: regional magnetics (processed images such as RTP or analytic signal), IP chargeability and resistivity, alteration zonation mapping (potassic, phyllic, argillic, lithocap = the clay-silica cap above a porphyry), rock-chip Cu-Au-Mo, stream sediments. Orogenic: structural mapping, soil Au with As-Sb-W pathfinders, trenching, ground magnetics for structure. LS epithermal: vein texture and sinter mapping, Hg-As-Sb-Tl geochemistry, resistivity (e.g. CSAMT), boiling-level indicators. HS epithermal: vuggy silica and advanced argillic mapping, IP, Au-Cu-As. VMS: airborne EM plus gravity, exhalite mapping, Zn-Cu-Pb soils. Carlin: Au-As-Sb-Hg-Tl soils, gravity for basement highs, jasperoid mapping. IOCG: coincident gravity and magnetic highs. Fewer than half present = the target is an anomaly, not drill-ready, whatever the deck calls it. Ask which single dataset generated the target and which independent dataset corroborates it.</t>
        </is>
      </c>
      <c r="E136" s="19" t="inlineStr">
        <is>
          <t>Technical presentation target maps; technical report items 9-10.</t>
        </is>
      </c>
      <c r="F136" s="19" t="inlineStr">
        <is>
          <t># present / # expected</t>
        </is>
      </c>
      <c r="G136" s="18" t="inlineStr">
        <is>
          <t>G</t>
        </is>
      </c>
      <c r="H136" s="18" t="n">
        <v>2</v>
      </c>
      <c r="I136" s="19" t="inlineStr">
        <is>
          <t>Higher is better; &lt;half = anomaly only</t>
        </is>
      </c>
      <c r="J136" s="18" t="inlineStr"/>
      <c r="K136" s="20" t="n"/>
      <c r="L136" s="21" t="n"/>
      <c r="M136" s="20" t="n"/>
      <c r="N136" s="20" t="n"/>
      <c r="O136" s="2">
        <f>IF(G136="All",1,IFERROR(MATCH(G136,{"G","D","R","S"},0)+1,1))</f>
        <v/>
      </c>
      <c r="P136" s="2">
        <f>IF($B$12="","",IF(O136&lt;=$B$12,"yes","no"))</f>
        <v/>
      </c>
    </row>
    <row r="137" ht="125.5" customHeight="1">
      <c r="A137" s="18" t="inlineStr">
        <is>
          <t>G-04</t>
        </is>
      </c>
      <c r="B137" s="18" t="inlineStr">
        <is>
          <t>G</t>
        </is>
      </c>
      <c r="C137" s="19" t="inlineStr">
        <is>
          <t>Geochemistry programme quality</t>
        </is>
      </c>
      <c r="D137" s="19" t="inlineStr">
        <is>
          <t>Grab and rock-chip samples are selective by definition (releases must say so): never extrapolate their grade, and treat 'up to X g/t' headlines as marketing. Ask for sample medium (soil, till, stream sediment), sample density, and whether the regolith (the weathered layer sampled) is residual or transported: conventional soils fail under transported cover such as glacial till, alluvium, dune sand or transported laterite, where till sampling, partial-leach or MMI (mobile metal ion) geochemistry, or aircore drilling through the cover are needed instead. Multi-element ICP analysis is needed for the pathfinder logic in G-01. A coherent gridded anomaly over more than 500 m of strike with coincident structure is a target; isolated high grabs are a lead.</t>
        </is>
      </c>
      <c r="E137" s="19" t="inlineStr">
        <is>
          <t>News releases; technical report item 9.</t>
        </is>
      </c>
      <c r="F137" s="19" t="inlineStr">
        <is>
          <t>Y/N</t>
        </is>
      </c>
      <c r="G137" s="18" t="inlineStr">
        <is>
          <t>G</t>
        </is>
      </c>
      <c r="H137" s="18" t="n">
        <v>2</v>
      </c>
      <c r="I137" s="19" t="inlineStr">
        <is>
          <t>Systematic, multi-element, residual = good</t>
        </is>
      </c>
      <c r="J137" s="18" t="inlineStr"/>
      <c r="K137" s="20" t="n"/>
      <c r="L137" s="21" t="n"/>
      <c r="M137" s="20" t="n"/>
      <c r="N137" s="20" t="n"/>
      <c r="O137" s="2">
        <f>IF(G137="All",1,IFERROR(MATCH(G137,{"G","D","R","S"},0)+1,1))</f>
        <v/>
      </c>
      <c r="P137" s="2">
        <f>IF($B$12="","",IF(O137&lt;=$B$12,"yes","no"))</f>
        <v/>
      </c>
    </row>
    <row r="138" ht="179.5" customHeight="1">
      <c r="A138" s="18" t="inlineStr">
        <is>
          <t>G-05</t>
        </is>
      </c>
      <c r="B138" s="18" t="inlineStr">
        <is>
          <t>G</t>
        </is>
      </c>
      <c r="C138" s="19" t="inlineStr">
        <is>
          <t>Geophysics matched to the model</t>
        </is>
      </c>
      <c r="D138" s="19" t="inlineStr">
        <is>
          <t>Each method is diagnostic only for certain targets, so 'yes' is not automatically good. Airborne magnetics: structure and lithology, also under cover; cheap first pass, expected on any serious greenfield project. Radiometrics (flown with magnetics): K-Th-U of the top few tens of centimetres, useful for potassic alteration and lithology in outcrop, blind under cover. Gravity: density contrasts (IOCG, skarn, massive sulphide, Carlin basement highs). EM: conductive massive sulphides (VMS, Ni-Cu); false positives from graphite and sulphidic shale; rarely diagnostic for gold. IP: chargeability of disseminated sulphides, the standard pre-drill tool for porphyry and sulphide-associated gold (barren pyrite is the false positive); no IP before drilling a sulphide target = ask why. Seismic: rare outside deep brownfield and basin settings; if present, ask what for. Record airborne or ground, line spacing, whether data were inverted (converted into a depth model rather than shown as a raw image) and whether anomalies were ground-truthed (mapped or sampled on the ground) before drilling.</t>
        </is>
      </c>
      <c r="E138" s="19" t="inlineStr">
        <is>
          <t>Technical report item 9; news releases.</t>
        </is>
      </c>
      <c r="F138" s="19" t="inlineStr">
        <is>
          <t>method list</t>
        </is>
      </c>
      <c r="G138" s="18" t="inlineStr">
        <is>
          <t>G</t>
        </is>
      </c>
      <c r="H138" s="18" t="n">
        <v>2</v>
      </c>
      <c r="I138" s="19" t="inlineStr">
        <is>
          <t>Appropriate methods, modelled and ground-truthed = good</t>
        </is>
      </c>
      <c r="J138" s="18" t="inlineStr"/>
      <c r="K138" s="20" t="n"/>
      <c r="L138" s="21" t="n"/>
      <c r="M138" s="20" t="n"/>
      <c r="N138" s="20" t="n"/>
      <c r="O138" s="2">
        <f>IF(G138="All",1,IFERROR(MATCH(G138,{"G","D","R","S"},0)+1,1))</f>
        <v/>
      </c>
      <c r="P138" s="2">
        <f>IF($B$12="","",IF(O138&lt;=$B$12,"yes","no"))</f>
        <v/>
      </c>
    </row>
    <row r="139" ht="71.5" customHeight="1">
      <c r="A139" s="18" t="inlineStr">
        <is>
          <t>G-06</t>
        </is>
      </c>
      <c r="B139" s="18" t="inlineStr">
        <is>
          <t>G</t>
        </is>
      </c>
      <c r="C139" s="19" t="inlineStr">
        <is>
          <t>Geological, structural and alteration mapping</t>
        </is>
      </c>
      <c r="D139" s="19" t="inlineStr">
        <is>
          <t>A published prospect-scale (1:5,000 to 1:10,000) geological and alteration map covering the drill targets, dated after the company acquired the project, with structural measurements and SWIR mineralogy (short-wave infrared spectrometer readings that identify clay and mica alteration minerals). Under cover, mapping cannot be 'complete': state % outcrop and the substitutes used (trenching, aircore, geophysics).</t>
        </is>
      </c>
      <c r="E139" s="19" t="inlineStr">
        <is>
          <t>Technical presentation; technical report item 9.</t>
        </is>
      </c>
      <c r="F139" s="19" t="inlineStr">
        <is>
          <t>Y/N</t>
        </is>
      </c>
      <c r="G139" s="18" t="inlineStr">
        <is>
          <t>G</t>
        </is>
      </c>
      <c r="H139" s="18" t="n">
        <v>2</v>
      </c>
      <c r="I139" s="19" t="inlineStr">
        <is>
          <t>Y = good</t>
        </is>
      </c>
      <c r="J139" s="18" t="inlineStr"/>
      <c r="K139" s="20" t="n"/>
      <c r="L139" s="21" t="n"/>
      <c r="M139" s="20" t="n"/>
      <c r="N139" s="20" t="n"/>
      <c r="O139" s="2">
        <f>IF(G139="All",1,IFERROR(MATCH(G139,{"G","D","R","S"},0)+1,1))</f>
        <v/>
      </c>
      <c r="P139" s="2">
        <f>IF($B$12="","",IF(O139&lt;=$B$12,"yes","no"))</f>
        <v/>
      </c>
    </row>
    <row r="140" ht="58" customHeight="1">
      <c r="A140" s="18" t="inlineStr">
        <is>
          <t>G-07</t>
        </is>
      </c>
      <c r="B140" s="18" t="inlineStr">
        <is>
          <t>G</t>
        </is>
      </c>
      <c r="C140" s="19" t="inlineStr">
        <is>
          <t>Alteration or vein footprint appropriate to the model</t>
        </is>
      </c>
      <c r="D140" s="19" t="inlineStr">
        <is>
          <t>Porphyry: more than 10 km2; epithermal: 1-5 km2; orogenic: a coherent alteration and veining corridor over more than 1 km of strike (a 3 km2 test would fail most orogenic projects). Large undrilled alteration is attractive only with coincident geochemistry or structure; lithocaps and regional propylitic zones are often barren.</t>
        </is>
      </c>
      <c r="E140" s="19" t="inlineStr">
        <is>
          <t>Alteration map (G-06); technical report item 9.</t>
        </is>
      </c>
      <c r="F140" s="19" t="inlineStr">
        <is>
          <t>km2 / km strike</t>
        </is>
      </c>
      <c r="G140" s="18" t="inlineStr">
        <is>
          <t>G</t>
        </is>
      </c>
      <c r="H140" s="18" t="n">
        <v>3</v>
      </c>
      <c r="I140" s="19" t="inlineStr">
        <is>
          <t>Appropriate to the model = good</t>
        </is>
      </c>
      <c r="J140" s="18" t="inlineStr"/>
      <c r="K140" s="20" t="n"/>
      <c r="L140" s="21" t="n"/>
      <c r="M140" s="20" t="n"/>
      <c r="N140" s="20" t="n"/>
      <c r="O140" s="2">
        <f>IF(G140="All",1,IFERROR(MATCH(G140,{"G","D","R","S"},0)+1,1))</f>
        <v/>
      </c>
      <c r="P140" s="2">
        <f>IF($B$12="","",IF(O140&lt;=$B$12,"yes","no"))</f>
        <v/>
      </c>
    </row>
    <row r="141" ht="71.5" customHeight="1">
      <c r="A141" s="18" t="inlineStr">
        <is>
          <t>G-08</t>
        </is>
      </c>
      <c r="B141" s="18" t="inlineStr">
        <is>
          <t>G</t>
        </is>
      </c>
      <c r="C141" s="19" t="inlineStr">
        <is>
          <t>Structural model and ore-shoot control</t>
        </is>
      </c>
      <c r="D141" s="19" t="inlineStr">
        <is>
          <t>Nearly all hydrothermal deposits are structurally controlled, so the question is whether the controls are predictive: does the deck show a structural interpretation (faults, fold axes, plunge arrows) and are holes planned across it? Is the plunge of the high-grade shoot stated and are holes planned to test it? Has a named structural consultant been engaged?</t>
        </is>
      </c>
      <c r="E141" s="19" t="inlineStr">
        <is>
          <t>Technical presentation; news releases.</t>
        </is>
      </c>
      <c r="F141" s="19" t="inlineStr">
        <is>
          <t>Y/N</t>
        </is>
      </c>
      <c r="G141" s="18" t="inlineStr">
        <is>
          <t>D</t>
        </is>
      </c>
      <c r="H141" s="18" t="n">
        <v>2</v>
      </c>
      <c r="I141" s="19" t="inlineStr">
        <is>
          <t>Y = good</t>
        </is>
      </c>
      <c r="J141" s="18" t="inlineStr"/>
      <c r="K141" s="20" t="n"/>
      <c r="L141" s="21" t="n"/>
      <c r="M141" s="20" t="n"/>
      <c r="N141" s="20" t="n"/>
      <c r="O141" s="2">
        <f>IF(G141="All",1,IFERROR(MATCH(G141,{"G","D","R","S"},0)+1,1))</f>
        <v/>
      </c>
      <c r="P141" s="2">
        <f>IF($B$12="","",IF(O141&lt;=$B$12,"yes","no"))</f>
        <v/>
      </c>
    </row>
    <row r="142" ht="85" customHeight="1">
      <c r="A142" s="18" t="inlineStr">
        <is>
          <t>G-09</t>
        </is>
      </c>
      <c r="B142" s="18" t="inlineStr">
        <is>
          <t>G</t>
        </is>
      </c>
      <c r="C142" s="19" t="inlineStr">
        <is>
          <t>Surface expression and cover</t>
        </is>
      </c>
      <c r="D142" s="19" t="inlineStr">
        <is>
          <t>Outcropping mineralisation lowers early cost; in mature belts (S-04) outcropping deposits have mostly been found and surface grades can be leached or supergene-altered (weathering has removed or redistributed gold near surface, so surface grades do not represent the primary ore). Under cover, record cover thickness and whether the geochemical method suits the cover (G-04). A growing share of recent major discoveries has been made under cover (MinEx Consulting): cover is a cost, not a disqualifier.</t>
        </is>
      </c>
      <c r="E142" s="19" t="inlineStr">
        <is>
          <t>Technical report items 7, 9.</t>
        </is>
      </c>
      <c r="F142" s="19" t="inlineStr">
        <is>
          <t>m of cover</t>
        </is>
      </c>
      <c r="G142" s="18" t="inlineStr">
        <is>
          <t>G</t>
        </is>
      </c>
      <c r="H142" s="18" t="n">
        <v>3</v>
      </c>
      <c r="I142" s="19" t="inlineStr">
        <is>
          <t>Info</t>
        </is>
      </c>
      <c r="J142" s="18" t="inlineStr"/>
      <c r="K142" s="20" t="n"/>
      <c r="L142" s="21" t="n"/>
      <c r="M142" s="20" t="n"/>
      <c r="N142" s="20" t="n"/>
      <c r="O142" s="2">
        <f>IF(G142="All",1,IFERROR(MATCH(G142,{"G","D","R","S"},0)+1,1))</f>
        <v/>
      </c>
      <c r="P142" s="2">
        <f>IF($B$12="","",IF(O142&lt;=$B$12,"yes","no"))</f>
        <v/>
      </c>
    </row>
    <row r="143" ht="85" customHeight="1">
      <c r="A143" s="18" t="inlineStr">
        <is>
          <t>G-10</t>
        </is>
      </c>
      <c r="B143" s="18" t="inlineStr">
        <is>
          <t>G</t>
        </is>
      </c>
      <c r="C143" s="19" t="inlineStr">
        <is>
          <t>Intrusions: timing relative to mineralisation</t>
        </is>
      </c>
      <c r="D143" s="19" t="inlineStr">
        <is>
          <t>Post-mineral dykes cutting the mineralised zone = negative: internal dilution, ore loss and ground-support problems; ask what % of block-model volume is barren dyke (above 10% = red flag) and whether dykes are drawn on sections and excluded from the resource. Pre- or syn-mineral causative intrusions (porphyry, skarn, intrusion-related, many greenstone deposits) = the source or host and a positive target: has it been drilled? Ask the company to state the timing relationship.</t>
        </is>
      </c>
      <c r="E143" s="19" t="inlineStr">
        <is>
          <t>Technical report items 7-8, 14; sections.</t>
        </is>
      </c>
      <c r="F143" s="19" t="inlineStr">
        <is>
          <t>post-mineral / pre- or syn-mineral / unknown</t>
        </is>
      </c>
      <c r="G143" s="18" t="inlineStr">
        <is>
          <t>D</t>
        </is>
      </c>
      <c r="H143" s="18" t="n">
        <v>3</v>
      </c>
      <c r="I143" s="19" t="inlineStr">
        <is>
          <t>Post-mineral dykes = negative; causative intrusion = positive</t>
        </is>
      </c>
      <c r="J143" s="18" t="inlineStr"/>
      <c r="K143" s="20" t="n"/>
      <c r="L143" s="21" t="n"/>
      <c r="M143" s="20" t="n"/>
      <c r="N143" s="20" t="n"/>
      <c r="O143" s="2">
        <f>IF(G143="All",1,IFERROR(MATCH(G143,{"G","D","R","S"},0)+1,1))</f>
        <v/>
      </c>
      <c r="P143" s="2">
        <f>IF($B$12="","",IF(O143&lt;=$B$12,"yes","no"))</f>
        <v/>
      </c>
    </row>
    <row r="144" ht="139" customHeight="1">
      <c r="A144" s="18" t="inlineStr">
        <is>
          <t>G-11</t>
        </is>
      </c>
      <c r="B144" s="18" t="inlineStr">
        <is>
          <t>G</t>
        </is>
      </c>
      <c r="C144" s="19" t="inlineStr">
        <is>
          <t>Target pipeline table</t>
        </is>
      </c>
      <c r="D144" s="19" t="inlineStr">
        <is>
          <t>One line per named target: (1) maturity: C conceptual (idea, no data) / A anomaly (single dataset) / D drill-ready (two or more coincident datasets, mapped structure or alteration, drill permit, a section with predicted depth) / T tested (at least 3 holes or ~1,000 m into the modelled position) / R resource-defined; (2) datasets behind it; (3) outcome: advanced / killed / parked / untested; (4) holes and metres allocated in the current programme. Derive: number of stage-D targets untested (genuine near-term optionality), conversion rate tested-to-advanced, number killed. More than 10 'targets' with none at stage D = marketing; three or more drilled and none killed = red flag (cross-check G-13); healthy early stage = 1-3 stage-D targets each funded for at least 2,000 m plus a stated generative budget (E-02).</t>
        </is>
      </c>
      <c r="E144" s="19" t="inlineStr">
        <is>
          <t>Technical presentation; technical report items 9-10; programme news release.</t>
        </is>
      </c>
      <c r="F144" s="19" t="inlineStr">
        <is>
          <t>table</t>
        </is>
      </c>
      <c r="G144" s="18" t="inlineStr">
        <is>
          <t>G</t>
        </is>
      </c>
      <c r="H144" s="18" t="n">
        <v>2</v>
      </c>
      <c r="I144" s="19" t="inlineStr">
        <is>
          <t>1-3 funded stage-D targets = good; none killed after 3 drilled = red flag</t>
        </is>
      </c>
      <c r="J144" s="18" t="inlineStr">
        <is>
          <t>R</t>
        </is>
      </c>
      <c r="K144" s="20" t="n"/>
      <c r="L144" s="21" t="n"/>
      <c r="M144" s="20" t="n"/>
      <c r="N144" s="20" t="n"/>
      <c r="O144" s="2">
        <f>IF(G144="All",1,IFERROR(MATCH(G144,{"G","D","R","S"},0)+1,1))</f>
        <v/>
      </c>
      <c r="P144" s="2">
        <f>IF($B$12="","",IF(O144&lt;=$B$12,"yes","no"))</f>
        <v/>
      </c>
    </row>
    <row r="145" ht="85" customHeight="1">
      <c r="A145" s="18" t="inlineStr">
        <is>
          <t>G-12</t>
        </is>
      </c>
      <c r="B145" s="18" t="inlineStr">
        <is>
          <t>G</t>
        </is>
      </c>
      <c r="C145" s="19" t="inlineStr">
        <is>
          <t>Historical data verification</t>
        </is>
      </c>
      <c r="D145" s="19" t="inlineStr">
        <is>
          <t>A historical resource is a 'historical estimate' that cannot be relied on until a QP redoes it (NI 43-101 s.2.4 requires that cautionary disclosure; ASX Listing Rule 5.12 is the JORC equivalent). Ask: twin holes (new holes drilled next to old ones) drilled and how do they compare? Pulps or coarse rejects (the stored remains of old samples) re-assayed? Original logs and assay certificates in hand or only a summary report? Collars re-surveyed from old local grids? Historic mine production records reconciled?</t>
        </is>
      </c>
      <c r="E145" s="19" t="inlineStr">
        <is>
          <t>Technical report item 12 'Data verification'; news releases on twinning.</t>
        </is>
      </c>
      <c r="F145" s="19" t="inlineStr">
        <is>
          <t>Y/N</t>
        </is>
      </c>
      <c r="G145" s="18" t="inlineStr">
        <is>
          <t>G</t>
        </is>
      </c>
      <c r="H145" s="18" t="n">
        <v>2</v>
      </c>
      <c r="I145" s="19" t="inlineStr">
        <is>
          <t>Verified = good; headline historical ounces unverified = red flag</t>
        </is>
      </c>
      <c r="J145" s="18" t="inlineStr">
        <is>
          <t>R</t>
        </is>
      </c>
      <c r="K145" s="20" t="n"/>
      <c r="L145" s="21" t="n"/>
      <c r="M145" s="20" t="n"/>
      <c r="N145" s="20" t="n"/>
      <c r="O145" s="2">
        <f>IF(G145="All",1,IFERROR(MATCH(G145,{"G","D","R","S"},0)+1,1))</f>
        <v/>
      </c>
      <c r="P145" s="2">
        <f>IF($B$12="","",IF(O145&lt;=$B$12,"yes","no"))</f>
        <v/>
      </c>
    </row>
    <row r="146" ht="71.5" customHeight="1">
      <c r="A146" s="18" t="inlineStr">
        <is>
          <t>G-13</t>
        </is>
      </c>
      <c r="B146" s="18" t="inlineStr">
        <is>
          <t>G</t>
        </is>
      </c>
      <c r="C146" s="19" t="inlineStr">
        <is>
          <t>Historical holes shown on current maps</t>
        </is>
      </c>
      <c r="D146" s="19" t="inlineStr">
        <is>
          <t>Compare the collar table in technical report item 6 or the government assessment files (G-14) with the current deck and news-release maps. Companies conveniently omit poor historical holes to make their own drilling look better (the 'directors special'). Poor historical holes missing from the current maps = hard stop; intent cannot be proven from public sources, so the omission itself is the test.</t>
        </is>
      </c>
      <c r="E146" s="19" t="inlineStr">
        <is>
          <t>Technical report item 6; assessment files; corporate deck maps.</t>
        </is>
      </c>
      <c r="F146" s="19" t="inlineStr">
        <is>
          <t>Y/N</t>
        </is>
      </c>
      <c r="G146" s="18" t="inlineStr">
        <is>
          <t>G</t>
        </is>
      </c>
      <c r="H146" s="18" t="n">
        <v>1</v>
      </c>
      <c r="I146" s="19" t="inlineStr">
        <is>
          <t>All holes shown = good; omitted holes = hard stop</t>
        </is>
      </c>
      <c r="J146" s="18" t="inlineStr">
        <is>
          <t>H</t>
        </is>
      </c>
      <c r="K146" s="20" t="n"/>
      <c r="L146" s="21" t="n"/>
      <c r="M146" s="20" t="n"/>
      <c r="N146" s="20" t="n"/>
      <c r="O146" s="2">
        <f>IF(G146="All",1,IFERROR(MATCH(G146,{"G","D","R","S"},0)+1,1))</f>
        <v/>
      </c>
      <c r="P146" s="2">
        <f>IF($B$12="","",IF(O146&lt;=$B$12,"yes","no"))</f>
        <v/>
      </c>
    </row>
    <row r="147" ht="98.5" customHeight="1">
      <c r="A147" s="18" t="inlineStr">
        <is>
          <t>G-14</t>
        </is>
      </c>
      <c r="B147" s="18" t="inlineStr">
        <is>
          <t>G</t>
        </is>
      </c>
      <c r="C147" s="19" t="inlineStr">
        <is>
          <t>Public assessment records and prior-owner history</t>
        </is>
      </c>
      <c r="D147" s="19" t="inlineStr">
        <is>
          <t>Search the free government assessment-report archive for the jurisdiction (BC ARIS and MINFILE, Ontario AFRI, Quebec SIGEOM, Yukon YGS, WA WAMEX, SA SARIG, Queensland GSQ; Nevada, Mexico and most of Africa and Latin America have no mandatory filing) and Stockwatch, SEDAR+ or ASX announcements for the project name: who held it, what they drilled, where, and why they dropped it. Filed reports are usually confidential for 1-3 years, so the newest work is only in news releases. Stockwatch is a paid service; SEDAR+ full-text search is free.</t>
        </is>
      </c>
      <c r="E147" s="19" t="inlineStr">
        <is>
          <t>Assessment-file databases; SEDAR+; Stockwatch (paid).</t>
        </is>
      </c>
      <c r="F147" s="19" t="inlineStr">
        <is>
          <t>Y/N</t>
        </is>
      </c>
      <c r="G147" s="18" t="inlineStr">
        <is>
          <t>G</t>
        </is>
      </c>
      <c r="H147" s="18" t="n">
        <v>2</v>
      </c>
      <c r="I147" s="19" t="inlineStr">
        <is>
          <t>Searched and consistent with the deck = good</t>
        </is>
      </c>
      <c r="J147" s="18" t="inlineStr"/>
      <c r="K147" s="20" t="n"/>
      <c r="L147" s="21" t="n"/>
      <c r="M147" s="20" t="n"/>
      <c r="N147" s="20" t="n"/>
      <c r="O147" s="2">
        <f>IF(G147="All",1,IFERROR(MATCH(G147,{"G","D","R","S"},0)+1,1))</f>
        <v/>
      </c>
      <c r="P147" s="2">
        <f>IF($B$12="","",IF(O147&lt;=$B$12,"yes","no"))</f>
        <v/>
      </c>
    </row>
    <row r="148" ht="166" customHeight="1">
      <c r="A148" s="18" t="inlineStr">
        <is>
          <t>G-15</t>
        </is>
      </c>
      <c r="B148" s="18" t="inlineStr">
        <is>
          <t>G</t>
        </is>
      </c>
      <c r="C148" s="19" t="inlineStr">
        <is>
          <t>Technical report and Qualified Person</t>
        </is>
      </c>
      <c r="D148" s="19" t="inlineStr">
        <is>
          <t>Is there a current NI 43-101, JORC or S-K 1300 technical report on the property? Record code, effective date, author firm (SRK, SLR, AMC, CSA Global (ERM), Micon, Snowden Optiro, Wood and similar are established; a one-person shop needs a track-record check), independence from the company, QP site visit (item 2) and data verification (item 12). Stale = older than 3 years, or relied on for headline ounces that later drilling has changed; a report that merely predates the latest drilling is normal (reports are triggered only by specific disclosures): use news releases for the newer holes. Is a QP named on every drill news release (NI 43-101 Part 3 requires it)? Download from SEDAR+ (document type 'Technical report'), EDGAR (S-K 1300 report, exhibit 96.1) or the ASX announcements platform; read items 2, 12 and 14, not the deck. ASX explorers often have no standalone report after the IPO prospectus: there, check that every results announcement carries JORC Table 1 and a named Competent Person.</t>
        </is>
      </c>
      <c r="E148" s="19" t="inlineStr">
        <is>
          <t>SEDAR+ technical report; ASX announcements; JORC Table 1.</t>
        </is>
      </c>
      <c r="F148" s="19" t="inlineStr">
        <is>
          <t>Y/N + date</t>
        </is>
      </c>
      <c r="G148" s="18" t="inlineStr">
        <is>
          <t>G</t>
        </is>
      </c>
      <c r="H148" s="18" t="n">
        <v>1</v>
      </c>
      <c r="I148" s="19" t="inlineStr">
        <is>
          <t>Current, independent, QP site visit = good; stale report behind headline ounces, or no QP named on drill releases = red flag</t>
        </is>
      </c>
      <c r="J148" s="18" t="inlineStr">
        <is>
          <t>R</t>
        </is>
      </c>
      <c r="K148" s="20" t="n"/>
      <c r="L148" s="21" t="n"/>
      <c r="M148" s="20" t="n"/>
      <c r="N148" s="20" t="n"/>
      <c r="O148" s="2">
        <f>IF(G148="All",1,IFERROR(MATCH(G148,{"G","D","R","S"},0)+1,1))</f>
        <v/>
      </c>
      <c r="P148" s="2">
        <f>IF($B$12="","",IF(O148&lt;=$B$12,"yes","no"))</f>
        <v/>
      </c>
    </row>
    <row r="149" ht="98.5" customHeight="1">
      <c r="A149" s="18" t="inlineStr">
        <is>
          <t>G-16</t>
        </is>
      </c>
      <c r="B149" s="18" t="inlineStr">
        <is>
          <t>G</t>
        </is>
      </c>
      <c r="C149" s="19" t="inlineStr">
        <is>
          <t>Assay laboratory and method</t>
        </is>
      </c>
      <c r="D149" s="19" t="inlineStr">
        <is>
          <t>Independent ISO 17025 accredited lab (the international standard for testing-laboratory competence) named (ALS, SGS, Bureau Veritas, Intertek, MSALABS and similar) and where sample preparation is done. Gold by 30 g or 50 g fire assay; coarse or visible gold by screen fire assay (metallics) or PhotonAssay. Aqua regia gold is a partial digest: acceptable only where shown equivalent to fire assay for that ore. Portable XRF and handheld readings are indicative only and never support a resource. A company-owned or vendor-owned lab = red flag.</t>
        </is>
      </c>
      <c r="E149" s="19" t="inlineStr">
        <is>
          <t>News-release footnotes; technical report item 11.</t>
        </is>
      </c>
      <c r="F149" s="19" t="inlineStr">
        <is>
          <t>Y/N</t>
        </is>
      </c>
      <c r="G149" s="18" t="inlineStr">
        <is>
          <t>D</t>
        </is>
      </c>
      <c r="H149" s="18" t="n">
        <v>1</v>
      </c>
      <c r="I149" s="19" t="inlineStr">
        <is>
          <t>Accredited independent lab = good; in-house lab = red flag</t>
        </is>
      </c>
      <c r="J149" s="18" t="inlineStr">
        <is>
          <t>R</t>
        </is>
      </c>
      <c r="K149" s="20" t="n"/>
      <c r="L149" s="21" t="n"/>
      <c r="M149" s="20" t="n"/>
      <c r="N149" s="20" t="n"/>
      <c r="O149" s="2">
        <f>IF(G149="All",1,IFERROR(MATCH(G149,{"G","D","R","S"},0)+1,1))</f>
        <v/>
      </c>
      <c r="P149" s="2">
        <f>IF($B$12="","",IF(O149&lt;=$B$12,"yes","no"))</f>
        <v/>
      </c>
    </row>
    <row r="150" ht="85" customHeight="1">
      <c r="A150" s="18" t="inlineStr">
        <is>
          <t>G-17</t>
        </is>
      </c>
      <c r="B150" s="18" t="inlineStr">
        <is>
          <t>G</t>
        </is>
      </c>
      <c r="C150" s="19" t="inlineStr">
        <is>
          <t>QA/QC programme</t>
        </is>
      </c>
      <c r="D150" s="19" t="inlineStr">
        <is>
          <t>Certified reference materials (CRMs: samples of known grade that check accuracy), blanks (barren material that detects contamination) and field and lab duplicates (repeat samples that check precision) inserted at 5-10% of samples; umpire (check) assays at a second lab; results and any failures or re-assays discussed in the news-release footnote or technical report items 11-12. Silence on QA/QC = ask; refusal = red flag. This is the single strongest protection against salted, mis-assayed or mis-located results.</t>
        </is>
      </c>
      <c r="E150" s="19" t="inlineStr">
        <is>
          <t>News-release footnotes; technical report items 11-12.</t>
        </is>
      </c>
      <c r="F150" s="19" t="inlineStr">
        <is>
          <t>Y/N</t>
        </is>
      </c>
      <c r="G150" s="18" t="inlineStr">
        <is>
          <t>D</t>
        </is>
      </c>
      <c r="H150" s="18" t="n">
        <v>2</v>
      </c>
      <c r="I150" s="19" t="inlineStr">
        <is>
          <t>Y = good; silence = red flag</t>
        </is>
      </c>
      <c r="J150" s="18" t="inlineStr">
        <is>
          <t>R</t>
        </is>
      </c>
      <c r="K150" s="20" t="n"/>
      <c r="L150" s="21" t="n"/>
      <c r="M150" s="20" t="n"/>
      <c r="N150" s="20" t="n"/>
      <c r="O150" s="2">
        <f>IF(G150="All",1,IFERROR(MATCH(G150,{"G","D","R","S"},0)+1,1))</f>
        <v/>
      </c>
      <c r="P150" s="2">
        <f>IF($B$12="","",IF(O150&lt;=$B$12,"yes","no"))</f>
        <v/>
      </c>
    </row>
    <row r="151" ht="71.5" customHeight="1">
      <c r="A151" s="18" t="inlineStr">
        <is>
          <t>G-18</t>
        </is>
      </c>
      <c r="B151" s="18" t="inlineStr">
        <is>
          <t>G</t>
        </is>
      </c>
      <c r="C151" s="19" t="inlineStr">
        <is>
          <t>Chain of custody and sample security</t>
        </is>
      </c>
      <c r="D151" s="19" t="inlineStr">
        <is>
          <t>Who logs, cuts and transports core; sampling protocol (half core sawn and half retained as a reference; sample lengths tied to geology, typically 0.5-1.5 m; whole-core sampling, which leaves nothing to re-check, needs a stated reason such as coarse-gold screen assays or metallurgical samples); where core is stored; contractor-sealed bags to the lab; is this stated in each drill release?</t>
        </is>
      </c>
      <c r="E151" s="19" t="inlineStr">
        <is>
          <t>News-release footnotes; technical report item 11.</t>
        </is>
      </c>
      <c r="F151" s="19" t="inlineStr">
        <is>
          <t>Y/N</t>
        </is>
      </c>
      <c r="G151" s="18" t="inlineStr">
        <is>
          <t>D</t>
        </is>
      </c>
      <c r="H151" s="18" t="n">
        <v>2</v>
      </c>
      <c r="I151" s="19" t="inlineStr">
        <is>
          <t>Y = good</t>
        </is>
      </c>
      <c r="J151" s="18" t="inlineStr"/>
      <c r="K151" s="20" t="n"/>
      <c r="L151" s="21" t="n"/>
      <c r="M151" s="20" t="n"/>
      <c r="N151" s="20" t="n"/>
      <c r="O151" s="2">
        <f>IF(G151="All",1,IFERROR(MATCH(G151,{"G","D","R","S"},0)+1,1))</f>
        <v/>
      </c>
      <c r="P151" s="2">
        <f>IF($B$12="","",IF(O151&lt;=$B$12,"yes","no"))</f>
        <v/>
      </c>
    </row>
    <row r="152" ht="58" customHeight="1">
      <c r="A152" s="18" t="inlineStr">
        <is>
          <t>G-19</t>
        </is>
      </c>
      <c r="B152" s="18" t="inlineStr">
        <is>
          <t>G</t>
        </is>
      </c>
      <c r="C152" s="19" t="inlineStr">
        <is>
          <t>Collar and downhole surveys</t>
        </is>
      </c>
      <c r="D152" s="19" t="inlineStr">
        <is>
          <t>Every hole needs a surveyed collar (DGPS or total station) and downhole deviation surveys (gyroscopic tools preferred; magnetic tools misread in magnetic rocks); without them a 500 m hole can deviate tens of metres and intercepts cannot be placed in 3D. Absence = unreliable intercepts.</t>
        </is>
      </c>
      <c r="E152" s="19" t="inlineStr">
        <is>
          <t>News-release footnotes; technical report item 10.</t>
        </is>
      </c>
      <c r="F152" s="19" t="inlineStr">
        <is>
          <t>Y/N</t>
        </is>
      </c>
      <c r="G152" s="18" t="inlineStr">
        <is>
          <t>D</t>
        </is>
      </c>
      <c r="H152" s="18" t="n">
        <v>2</v>
      </c>
      <c r="I152" s="19" t="inlineStr">
        <is>
          <t>Y = good; absent = red flag</t>
        </is>
      </c>
      <c r="J152" s="18" t="inlineStr">
        <is>
          <t>R</t>
        </is>
      </c>
      <c r="K152" s="20" t="n"/>
      <c r="L152" s="21" t="n"/>
      <c r="M152" s="20" t="n"/>
      <c r="N152" s="20" t="n"/>
      <c r="O152" s="2">
        <f>IF(G152="All",1,IFERROR(MATCH(G152,{"G","D","R","S"},0)+1,1))</f>
        <v/>
      </c>
      <c r="P152" s="2">
        <f>IF($B$12="","",IF(O152&lt;=$B$12,"yes","no"))</f>
        <v/>
      </c>
    </row>
    <row r="153" ht="112" customHeight="1">
      <c r="A153" s="18" t="inlineStr">
        <is>
          <t>G-20</t>
        </is>
      </c>
      <c r="B153" s="18" t="inlineStr">
        <is>
          <t>G</t>
        </is>
      </c>
      <c r="C153" s="19" t="inlineStr">
        <is>
          <t>Drilling type and core recovery</t>
        </is>
      </c>
      <c r="D153" s="19" t="inlineStr">
        <is>
          <t>Share of metres by method: diamond (DD), reverse circulation (RC), aircore or RAB. RC gives chips only: no structural data, cannot be oriented, no density samples and only composite metallurgical samples; it smears grade in wet or broken ground. Aircore and RAB are regolith first-pass tools unsuitable for a resource. Core recovery reported per mineralised interval: above 90% is the target; below 85% within mineralised zones = unreliable grades (red flag). Geotechnical logging of exploration core (RQD = share of core in pieces longer than 10 cm; fracture frequency) is standard and an early warning of broken ground.</t>
        </is>
      </c>
      <c r="E153" s="19" t="inlineStr">
        <is>
          <t>News-release footnotes; technical report item 10.</t>
        </is>
      </c>
      <c r="F153" s="19" t="inlineStr">
        <is>
          <t>% DD / RC / AC; % recovery</t>
        </is>
      </c>
      <c r="G153" s="18" t="inlineStr">
        <is>
          <t>D</t>
        </is>
      </c>
      <c r="H153" s="18" t="n">
        <v>2</v>
      </c>
      <c r="I153" s="19" t="inlineStr">
        <is>
          <t>Recovery &gt;90% = good; &lt;85% in ore = red flag</t>
        </is>
      </c>
      <c r="J153" s="18" t="inlineStr">
        <is>
          <t>R</t>
        </is>
      </c>
      <c r="K153" s="20" t="n"/>
      <c r="L153" s="21" t="n"/>
      <c r="M153" s="20" t="n"/>
      <c r="N153" s="20" t="n"/>
      <c r="O153" s="2">
        <f>IF(G153="All",1,IFERROR(MATCH(G153,{"G","D","R","S"},0)+1,1))</f>
        <v/>
      </c>
      <c r="P153" s="2">
        <f>IF($B$12="","",IF(O153&lt;=$B$12,"yes","no"))</f>
        <v/>
      </c>
    </row>
    <row r="154" ht="44.5" customHeight="1">
      <c r="A154" s="18" t="inlineStr">
        <is>
          <t>G-21</t>
        </is>
      </c>
      <c r="B154" s="18" t="inlineStr">
        <is>
          <t>G</t>
        </is>
      </c>
      <c r="C154" s="19" t="inlineStr">
        <is>
          <t>Oriented core</t>
        </is>
      </c>
      <c r="D154" s="19" t="inlineStr">
        <is>
          <t>Expected on a representative share of diamond holes where mineralisation is structurally controlled; ask whether the structural measurements have been used to define ore-shoot plunge and hole orientation. Not scored for RC-led programmes.</t>
        </is>
      </c>
      <c r="E154" s="19" t="inlineStr">
        <is>
          <t>Technical report item 10; ask management.</t>
        </is>
      </c>
      <c r="F154" s="19" t="inlineStr">
        <is>
          <t>Y/N/NA</t>
        </is>
      </c>
      <c r="G154" s="18" t="inlineStr">
        <is>
          <t>D</t>
        </is>
      </c>
      <c r="H154" s="18" t="n">
        <v>3</v>
      </c>
      <c r="I154" s="19" t="inlineStr">
        <is>
          <t>Y = good where DD is used</t>
        </is>
      </c>
      <c r="J154" s="18" t="inlineStr"/>
      <c r="K154" s="20" t="n"/>
      <c r="L154" s="21" t="n"/>
      <c r="M154" s="20" t="n"/>
      <c r="N154" s="20" t="n"/>
      <c r="O154" s="2">
        <f>IF(G154="All",1,IFERROR(MATCH(G154,{"G","D","R","S"},0)+1,1))</f>
        <v/>
      </c>
      <c r="P154" s="2">
        <f>IF($B$12="","",IF(O154&lt;=$B$12,"yes","no"))</f>
        <v/>
      </c>
    </row>
    <row r="155" ht="58" customHeight="1">
      <c r="A155" s="18" t="inlineStr">
        <is>
          <t>G-22</t>
        </is>
      </c>
      <c r="B155" s="18" t="inlineStr">
        <is>
          <t>G</t>
        </is>
      </c>
      <c r="C155" s="19" t="inlineStr">
        <is>
          <t>Core photos and data availability</t>
        </is>
      </c>
      <c r="D155" s="19" t="inlineStr">
        <is>
          <t>Record whether the drill-database export and full core-photo access that M-07 asks for were actually obtained (not only promised), and whether the QP's data verification (G-15, technical report item 12) covers the holes used in the current maps. Availability itself is scored in M-07; independence of the QP in G-15.</t>
        </is>
      </c>
      <c r="E155" s="19" t="inlineStr">
        <is>
          <t>Website; ask management.</t>
        </is>
      </c>
      <c r="F155" s="19" t="inlineStr">
        <is>
          <t>Y/N</t>
        </is>
      </c>
      <c r="G155" s="18" t="inlineStr">
        <is>
          <t>D</t>
        </is>
      </c>
      <c r="H155" s="18" t="n">
        <v>3</v>
      </c>
      <c r="I155" s="19" t="inlineStr">
        <is>
          <t>Y = good</t>
        </is>
      </c>
      <c r="J155" s="18" t="inlineStr"/>
      <c r="K155" s="20" t="n"/>
      <c r="L155" s="21" t="n"/>
      <c r="M155" s="20" t="n"/>
      <c r="N155" s="20" t="n"/>
      <c r="O155" s="2">
        <f>IF(G155="All",1,IFERROR(MATCH(G155,{"G","D","R","S"},0)+1,1))</f>
        <v/>
      </c>
      <c r="P155" s="2">
        <f>IF($B$12="","",IF(O155&lt;=$B$12,"yes","no"))</f>
        <v/>
      </c>
    </row>
    <row r="156" ht="31" customHeight="1">
      <c r="A156" s="14" t="inlineStr">
        <is>
          <t>D</t>
        </is>
      </c>
      <c r="B156" s="15" t="inlineStr">
        <is>
          <t>D</t>
        </is>
      </c>
      <c r="C156" s="14" t="inlineStr">
        <is>
          <t>DRILL RESULTS &amp; DISCOVERY METRICS</t>
        </is>
      </c>
      <c r="D156" s="16" t="inlineStr">
        <is>
          <t>How to read a drill hole without adjectives. Stage D onward. Gold-calibrated: GT = grade (g/t) x true width (m).</t>
        </is>
      </c>
      <c r="E156" s="17" t="n"/>
      <c r="F156" s="17" t="n"/>
      <c r="G156" s="17" t="n"/>
      <c r="H156" s="17" t="n"/>
      <c r="I156" s="17" t="n"/>
      <c r="J156" s="17" t="n"/>
      <c r="K156" s="17" t="n"/>
      <c r="L156" s="17" t="n"/>
      <c r="M156" s="17" t="n"/>
      <c r="N156" s="17" t="n"/>
      <c r="O156" s="17" t="n"/>
      <c r="P156" s="17" t="n"/>
    </row>
    <row r="157" ht="71.5" customHeight="1">
      <c r="A157" s="18" t="inlineStr">
        <is>
          <t>D-01</t>
        </is>
      </c>
      <c r="B157" s="18" t="inlineStr">
        <is>
          <t>D</t>
        </is>
      </c>
      <c r="C157" s="19" t="inlineStr">
        <is>
          <t>Discovery hole</t>
        </is>
      </c>
      <c r="D157" s="19" t="inlineStr">
        <is>
          <t>The hole the company credits as the discovery: normally the best hole of the first programme to hit the zone that later drilling followed up. Record hole ID, date, owner at the time (this company or a prior owner, G-14), GT, true width and cut-off. Check that the same hole still appears on current maps and that a later 'discovery' is not an old intercept re-branded.</t>
        </is>
      </c>
      <c r="E157" s="19" t="inlineStr">
        <is>
          <t>News releases; technical presentation.</t>
        </is>
      </c>
      <c r="F157" s="19" t="inlineStr">
        <is>
          <t>hole ID</t>
        </is>
      </c>
      <c r="G157" s="18" t="inlineStr">
        <is>
          <t>D</t>
        </is>
      </c>
      <c r="H157" s="18" t="n">
        <v>2</v>
      </c>
      <c r="I157" s="19" t="inlineStr">
        <is>
          <t>Info</t>
        </is>
      </c>
      <c r="J157" s="18" t="inlineStr"/>
      <c r="K157" s="20" t="n"/>
      <c r="L157" s="21" t="n"/>
      <c r="M157" s="20" t="n"/>
      <c r="N157" s="20" t="n"/>
      <c r="O157" s="2">
        <f>IF(G157="All",1,IFERROR(MATCH(G157,{"G","D","R","S"},0)+1,1))</f>
        <v/>
      </c>
      <c r="P157" s="2">
        <f>IF($B$12="","",IF(O157&lt;=$B$12,"yes","no"))</f>
        <v/>
      </c>
    </row>
    <row r="158" ht="139" customHeight="1">
      <c r="A158" s="18" t="inlineStr">
        <is>
          <t>D-02</t>
        </is>
      </c>
      <c r="B158" s="18" t="inlineStr">
        <is>
          <t>D</t>
        </is>
      </c>
      <c r="C158" s="19" t="inlineStr">
        <is>
          <t>Best intersection: grade x thickness (GT) ladder</t>
        </is>
      </c>
      <c r="D158" s="19" t="inlineStr">
        <is>
          <t>GT = grade (g/t Au) x true width (m) at a stated cut-off (0.5 g/t Au; 0.3 g/t is common for bulk-tonnage styles, so note the cut-off and do not compare intercepts reported at different cut-offs), no more than 3 m internal dilution, minimum 5 m true width. Ladder: below 20 = anomalous only; 20-50 = follow up; 50 or more = consistent with more than 2 Moz potential; 100 or more = strong; 134 or more over 10 m or more = tier-one discovery-hole class. Author's rules of thumb from own review of gold discoveries, not a published statistic; hindsight-conditional: most large deposits started with such a hole, but most such holes do not become large deposits (necessary, not sufficient). GT moves with composite length, cut-off and true-width choices (D-03, D-04): recompute it, do not copy the headline. Use the Calculators sheet.</t>
        </is>
      </c>
      <c r="E158" s="19" t="inlineStr">
        <is>
          <t>Drill news releases (intercept table); Calculators sheet.</t>
        </is>
      </c>
      <c r="F158" s="19" t="inlineStr">
        <is>
          <t>g/t x m</t>
        </is>
      </c>
      <c r="G158" s="18" t="inlineStr">
        <is>
          <t>D</t>
        </is>
      </c>
      <c r="H158" s="18" t="n">
        <v>1</v>
      </c>
      <c r="I158" s="19" t="inlineStr">
        <is>
          <t>Higher is better; &gt;=50 = interesting, &gt;=134 &amp; &gt;=10 m = tier-one class</t>
        </is>
      </c>
      <c r="J158" s="18" t="inlineStr"/>
      <c r="K158" s="20" t="n"/>
      <c r="L158" s="21" t="n"/>
      <c r="M158" s="20" t="n"/>
      <c r="N158" s="20" t="n"/>
      <c r="O158" s="2">
        <f>IF(G158="All",1,IFERROR(MATCH(G158,{"G","D","R","S"},0)+1,1))</f>
        <v/>
      </c>
      <c r="P158" s="2">
        <f>IF($B$12="","",IF(O158&lt;=$B$12,"yes","no"))</f>
        <v/>
      </c>
    </row>
    <row r="159" ht="112" customHeight="1">
      <c r="A159" s="18" t="inlineStr">
        <is>
          <t>D-03</t>
        </is>
      </c>
      <c r="B159" s="18" t="inlineStr">
        <is>
          <t>D</t>
        </is>
      </c>
      <c r="C159" s="19" t="inlineStr">
        <is>
          <t>Length of the discovery intersect (true width)</t>
        </is>
      </c>
      <c r="D159" s="19" t="inlineStr">
        <is>
          <t>More than 5 m of mineralised rock for a 2 Moz-class target; more than 10 m for a 5 Moz-class target (author's rule of thumb, see D-02). Does the release state true width? NI 43-101 (section 3.3) and JORC Table 1 require the true width or a statement that it is unknown; 'true width unknown' or 'core length' = treat as unverified (assume 50-70% of downhole length for steep veins drilled at 45-60 degrees at best). On the cross-section, holes should cross the zone at more than 60 degrees; true width ~ downhole length x sin(intersection angle). Holes drilled along the structure, or every hole at the vein's azimuth, can exaggerate width 3-5x. A drill intercept is not a mining width (D-10).</t>
        </is>
      </c>
      <c r="E159" s="19" t="inlineStr">
        <is>
          <t>Drill news releases; cross-sections; Calculators sheet.</t>
        </is>
      </c>
      <c r="F159" s="19" t="inlineStr">
        <is>
          <t>m (true)</t>
        </is>
      </c>
      <c r="G159" s="18" t="inlineStr">
        <is>
          <t>D</t>
        </is>
      </c>
      <c r="H159" s="18" t="n">
        <v>1</v>
      </c>
      <c r="I159" s="19" t="inlineStr">
        <is>
          <t>Longer true width is better; 'unknown' = unverified</t>
        </is>
      </c>
      <c r="J159" s="18" t="inlineStr"/>
      <c r="K159" s="20" t="n"/>
      <c r="L159" s="21" t="n"/>
      <c r="M159" s="20" t="n"/>
      <c r="N159" s="20" t="n"/>
      <c r="O159" s="2">
        <f>IF(G159="All",1,IFERROR(MATCH(G159,{"G","D","R","S"},0)+1,1))</f>
        <v/>
      </c>
      <c r="P159" s="2">
        <f>IF($B$12="","",IF(O159&lt;=$B$12,"yes","no"))</f>
        <v/>
      </c>
    </row>
    <row r="160" ht="125.5" customHeight="1">
      <c r="A160" s="18" t="inlineStr">
        <is>
          <t>D-04</t>
        </is>
      </c>
      <c r="B160" s="18" t="inlineStr">
        <is>
          <t>D</t>
        </is>
      </c>
      <c r="C160" s="19" t="inlineStr">
        <is>
          <t>Interval reporting quality</t>
        </is>
      </c>
      <c r="D160" s="19" t="inlineStr">
        <is>
          <t>Read the footnotes: composite cut-off (e.g. 0.3 g/t), maximum internal dilution (above 3 m is suspicious in vein systems), true width stated or unknown. Metal share of the 'including' sub-interval: if more than 70% of the metal sits in less than 20% of the length, it is a narrow vein dressed as bulk tonnage; recompute the remainder as (L x g - l x g_incl) / (L - l). Red flags: 'up to' grab or rock-chip grades, 'anomalous', 'visible gold observed' released before assays, no plan map with all collars, cut-off changing between releases. Whether every hole (including no-significant-intercept holes) is reported and assays are not left 'pending' for more than 3 months is scored in E-07, not here. Ask for a drill-database export.</t>
        </is>
      </c>
      <c r="E160" s="19" t="inlineStr">
        <is>
          <t>Drill news releases and footnotes; Calculators sheet.</t>
        </is>
      </c>
      <c r="F160" s="19" t="inlineStr">
        <is>
          <t>ratio / Y/N</t>
        </is>
      </c>
      <c r="G160" s="18" t="inlineStr">
        <is>
          <t>D</t>
        </is>
      </c>
      <c r="H160" s="18" t="n">
        <v>1</v>
      </c>
      <c r="I160" s="19" t="inlineStr">
        <is>
          <t>Complete disclosure = good; see red flags</t>
        </is>
      </c>
      <c r="J160" s="18" t="inlineStr">
        <is>
          <t>R</t>
        </is>
      </c>
      <c r="K160" s="20" t="n"/>
      <c r="L160" s="21" t="n"/>
      <c r="M160" s="20" t="n"/>
      <c r="N160" s="20" t="n"/>
      <c r="O160" s="2">
        <f>IF(G160="All",1,IFERROR(MATCH(G160,{"G","D","R","S"},0)+1,1))</f>
        <v/>
      </c>
      <c r="P160" s="2">
        <f>IF($B$12="","",IF(O160&lt;=$B$12,"yes","no"))</f>
        <v/>
      </c>
    </row>
    <row r="161" ht="98.5" customHeight="1">
      <c r="A161" s="18" t="inlineStr">
        <is>
          <t>D-05</t>
        </is>
      </c>
      <c r="B161" s="18" t="inlineStr">
        <is>
          <t>D</t>
        </is>
      </c>
      <c r="C161" s="19" t="inlineStr">
        <is>
          <t>Length-weighted intercept grade and metal-equivalent reporting</t>
        </is>
      </c>
      <c r="D161" s="19" t="inlineStr">
        <is>
          <t>Grade at the stated cut-off, length-weighted (sum of grade x sample length / total length), not a simple average of samples. If AuEq or CuEq is reported: which metals, price deck, recovery per metal (100% assumed = red flag), payability; NI 43-101 (section 2.3) requires the individual grades and the assumptions to be shown alongside any equivalent. Recompute at the majors' reserve price from the price deck and 80-90% recovery; treat by-products with no metallurgical test work as zero. Never compare equivalent intervals between companies without normalising.</t>
        </is>
      </c>
      <c r="E161" s="19" t="inlineStr">
        <is>
          <t>Drill news-release footnotes.</t>
        </is>
      </c>
      <c r="F161" s="19" t="inlineStr">
        <is>
          <t>g/t Au; % of AuEq from gold</t>
        </is>
      </c>
      <c r="G161" s="18" t="inlineStr">
        <is>
          <t>D</t>
        </is>
      </c>
      <c r="H161" s="18" t="n">
        <v>2</v>
      </c>
      <c r="I161" s="19" t="inlineStr">
        <is>
          <t>Individual grades shown, realistic Eq assumptions = good</t>
        </is>
      </c>
      <c r="J161" s="18" t="inlineStr"/>
      <c r="K161" s="20" t="n"/>
      <c r="L161" s="21" t="n"/>
      <c r="M161" s="20" t="n"/>
      <c r="N161" s="20" t="n"/>
      <c r="O161" s="2">
        <f>IF(G161="All",1,IFERROR(MATCH(G161,{"G","D","R","S"},0)+1,1))</f>
        <v/>
      </c>
      <c r="P161" s="2">
        <f>IF($B$12="","",IF(O161&lt;=$B$12,"yes","no"))</f>
        <v/>
      </c>
    </row>
    <row r="162" ht="112" customHeight="1">
      <c r="A162" s="18" t="inlineStr">
        <is>
          <t>D-06</t>
        </is>
      </c>
      <c r="B162" s="18" t="inlineStr">
        <is>
          <t>D</t>
        </is>
      </c>
      <c r="C162" s="19" t="inlineStr">
        <is>
          <t>Average GT of all holes versus the best hole</t>
        </is>
      </c>
      <c r="D162" s="19" t="inlineStr">
        <is>
          <t>Take each hole's best interval from the programme-end table (no-significant-intercept holes count as zero) and average GT over all holes drilled, not only the holes in the table. If best-hole GT exceeds 5x the average, the 'discovery' is one lucky hole, not a system. In-situ value ($/t) = grade (g/t) x gold price ($/oz) / 31.1 x recovery (as a fraction; 0.9 if unknown), using the majors' reserve price from the price deck, not spot: the value is price-linked. Cost-side floors (approximate mining plus processing plus G&amp;A per tonne): more than US$60-80/t for open pit, more than US$150/t for underground; at US$2,000/oz and 90% recovery, 1 g/t is about US$58/t.</t>
        </is>
      </c>
      <c r="E162" s="19" t="inlineStr">
        <is>
          <t>Programme-end news release intercept table (all holes, including NSI); price deck on the DD Questionnaire sheet; Calculators sheet, block 12.</t>
        </is>
      </c>
      <c r="F162" s="19" t="inlineStr">
        <is>
          <t>x (best / average GT); $/t</t>
        </is>
      </c>
      <c r="G162" s="18" t="inlineStr">
        <is>
          <t>D</t>
        </is>
      </c>
      <c r="H162" s="18" t="n">
        <v>3</v>
      </c>
      <c r="I162" s="19" t="inlineStr">
        <is>
          <t>Best / average &lt;5x = good</t>
        </is>
      </c>
      <c r="J162" s="18" t="inlineStr"/>
      <c r="K162" s="20" t="n"/>
      <c r="L162" s="21" t="n"/>
      <c r="M162" s="20" t="n"/>
      <c r="N162" s="20" t="n"/>
      <c r="O162" s="2">
        <f>IF(G162="All",1,IFERROR(MATCH(G162,{"G","D","R","S"},0)+1,1))</f>
        <v/>
      </c>
      <c r="P162" s="2">
        <f>IF($B$12="","",IF(O162&lt;=$B$12,"yes","no"))</f>
        <v/>
      </c>
    </row>
    <row r="163" ht="125.5" customHeight="1">
      <c r="A163" s="18" t="inlineStr">
        <is>
          <t>D-07</t>
        </is>
      </c>
      <c r="B163" s="18" t="inlineStr">
        <is>
          <t>D</t>
        </is>
      </c>
      <c r="C163" s="19" t="inlineStr">
        <is>
          <t>Drill-confirmed mineralised strike</t>
        </is>
      </c>
      <c r="D163" s="19" t="inlineStr">
        <is>
          <t>(a) Strike of the surface anomaly or structure (m) and its source (soil, geophysics, mapping). (b) Drill-confirmed mineralised strike: distance between the two outermost holes with intercepts above a stated cut-off (e.g. more than 0.5 g/t over at least 2 m, or GT of 10 or more) with no barren hole in between. (c) Ratio (b)/(a): if 'open along strike' is claimed but (c) is below 30%, read it as untested, not open. (b) divided by the number of mineralised holes approximates along-strike spacing: above 100 m while 'continuous' is claimed = continuity asserted, not demonstrated. Fewer than 200 m of drill-confirmed strike after two programmes = likely a pod (the 30%, 100 m and 200 m figures are the author's rules of thumb). Feeds the size of the prize (V-01).</t>
        </is>
      </c>
      <c r="E163" s="19" t="inlineStr">
        <is>
          <t>Drill news releases; plan map with collars.</t>
        </is>
      </c>
      <c r="F163" s="19" t="inlineStr">
        <is>
          <t>m, %</t>
        </is>
      </c>
      <c r="G163" s="18" t="inlineStr">
        <is>
          <t>D</t>
        </is>
      </c>
      <c r="H163" s="18" t="n">
        <v>2</v>
      </c>
      <c r="I163" s="19" t="inlineStr">
        <is>
          <t>Longer drill-confirmed strike is better</t>
        </is>
      </c>
      <c r="J163" s="18" t="inlineStr"/>
      <c r="K163" s="20" t="n"/>
      <c r="L163" s="21" t="n"/>
      <c r="M163" s="20" t="n"/>
      <c r="N163" s="20" t="n"/>
      <c r="O163" s="2">
        <f>IF(G163="All",1,IFERROR(MATCH(G163,{"G","D","R","S"},0)+1,1))</f>
        <v/>
      </c>
      <c r="P163" s="2">
        <f>IF($B$12="","",IF(O163&lt;=$B$12,"yes","no"))</f>
        <v/>
      </c>
    </row>
    <row r="164" ht="71.5" customHeight="1">
      <c r="A164" s="18" t="inlineStr">
        <is>
          <t>D-08</t>
        </is>
      </c>
      <c r="B164" s="18" t="inlineStr">
        <is>
          <t>D</t>
        </is>
      </c>
      <c r="C164" s="19" t="inlineStr">
        <is>
          <t>Vertical depth to mineralisation and deepest intercept</t>
        </is>
      </c>
      <c r="D164" s="19" t="inlineStr">
        <is>
          <t>Vertical depth to the top of mineralisation in reported intercepts (min / median / max; vertical = downhole depth x sin(hole dip)). Deepest hole versus deepest significant intercept: if the deepest intercept sits in the deepest hole, 'open at depth' is genuine; if intercepts stop 200 m above the deepest hole, it is not. Feeds the open-pit test (R-18).</t>
        </is>
      </c>
      <c r="E164" s="19" t="inlineStr">
        <is>
          <t>Drill news releases; sections.</t>
        </is>
      </c>
      <c r="F164" s="19" t="inlineStr">
        <is>
          <t>m</t>
        </is>
      </c>
      <c r="G164" s="18" t="inlineStr">
        <is>
          <t>D</t>
        </is>
      </c>
      <c r="H164" s="18" t="n">
        <v>2</v>
      </c>
      <c r="I164" s="19" t="inlineStr">
        <is>
          <t>Info; feeds R-18 and R-12</t>
        </is>
      </c>
      <c r="J164" s="18" t="inlineStr"/>
      <c r="K164" s="20" t="n"/>
      <c r="L164" s="21" t="n"/>
      <c r="M164" s="20" t="n"/>
      <c r="N164" s="20" t="n"/>
      <c r="O164" s="2">
        <f>IF(G164="All",1,IFERROR(MATCH(G164,{"G","D","R","S"},0)+1,1))</f>
        <v/>
      </c>
      <c r="P164" s="2">
        <f>IF($B$12="","",IF(O164&lt;=$B$12,"yes","no"))</f>
        <v/>
      </c>
    </row>
    <row r="165" ht="71.5" customHeight="1">
      <c r="A165" s="18" t="inlineStr">
        <is>
          <t>D-09</t>
        </is>
      </c>
      <c r="B165" s="18" t="inlineStr">
        <is>
          <t>D</t>
        </is>
      </c>
      <c r="C165" s="19" t="inlineStr">
        <is>
          <t>Visible gold and nugget effect</t>
        </is>
      </c>
      <c r="D165" s="19" t="inlineStr">
        <is>
          <t>Visible gold means coarse gold: erratic assays, poor duplicate repeatability, larger samples and screen fire assays needed, top-cuts at resource stage. Ask for the assay method (G-16), duplicate results, and whether VG holes were assayed consistently with non-VG holes. Treat 'visible gold observed' releases without assays as marketing and wait for assays. VG-rich deposits can still be excellent (gravity-recoverable gold, MP-04).</t>
        </is>
      </c>
      <c r="E165" s="19" t="inlineStr">
        <is>
          <t>Drill news releases; G-16.</t>
        </is>
      </c>
      <c r="F165" s="19" t="inlineStr">
        <is>
          <t>Y/N</t>
        </is>
      </c>
      <c r="G165" s="18" t="inlineStr">
        <is>
          <t>D</t>
        </is>
      </c>
      <c r="H165" s="18" t="n">
        <v>2</v>
      </c>
      <c r="I165" s="19" t="inlineStr">
        <is>
          <t>Neutral; assay method must match</t>
        </is>
      </c>
      <c r="J165" s="18" t="inlineStr"/>
      <c r="K165" s="20" t="n"/>
      <c r="L165" s="21" t="n"/>
      <c r="M165" s="20" t="n"/>
      <c r="N165" s="20" t="n"/>
      <c r="O165" s="2">
        <f>IF(G165="All",1,IFERROR(MATCH(G165,{"G","D","R","S"},0)+1,1))</f>
        <v/>
      </c>
      <c r="P165" s="2">
        <f>IF($B$12="","",IF(O165&lt;=$B$12,"yes","no"))</f>
        <v/>
      </c>
    </row>
    <row r="166" ht="85" customHeight="1">
      <c r="A166" s="18" t="inlineStr">
        <is>
          <t>D-10</t>
        </is>
      </c>
      <c r="B166" s="18" t="inlineStr">
        <is>
          <t>D</t>
        </is>
      </c>
      <c r="C166" s="19" t="inlineStr">
        <is>
          <t>Mineralised true width versus minimum mining width</t>
        </is>
      </c>
      <c r="D166" s="19" t="inlineStr">
        <is>
          <t>Underground: more than 1.5-2 m true width to limit dilution; narrow veins are acceptable only with high diluted grade (above 8-10 g/t) and demonstrated continuity (a 0.8 m vein at 15 g/t mined at 1.5 m becomes 8 g/t, MP-09). Open pit bulk tonnage: more than 50-100 m at 0.8-1 g/t or better near surface (equivalent to 50-100 GT, D-02). House preference: avoid narrow-vein systems because of resource risk (nugget effect, continuity), not because they cannot be profitable.</t>
        </is>
      </c>
      <c r="E166" s="19" t="inlineStr">
        <is>
          <t>Drill news releases; sections.</t>
        </is>
      </c>
      <c r="F166" s="19" t="inlineStr">
        <is>
          <t>m</t>
        </is>
      </c>
      <c r="G166" s="18" t="inlineStr">
        <is>
          <t>D</t>
        </is>
      </c>
      <c r="H166" s="18" t="n">
        <v>2</v>
      </c>
      <c r="I166" s="19" t="inlineStr">
        <is>
          <t>Wider is better; narrow needs &gt;8-10 g/t diluted</t>
        </is>
      </c>
      <c r="J166" s="18" t="inlineStr"/>
      <c r="K166" s="20" t="n"/>
      <c r="L166" s="21" t="n"/>
      <c r="M166" s="20" t="n"/>
      <c r="N166" s="20" t="n"/>
      <c r="O166" s="2">
        <f>IF(G166="All",1,IFERROR(MATCH(G166,{"G","D","R","S"},0)+1,1))</f>
        <v/>
      </c>
      <c r="P166" s="2">
        <f>IF($B$12="","",IF(O166&lt;=$B$12,"yes","no"))</f>
        <v/>
      </c>
    </row>
    <row r="167" ht="58" customHeight="1">
      <c r="A167" s="18" t="inlineStr">
        <is>
          <t>D-11</t>
        </is>
      </c>
      <c r="B167" s="18" t="inlineStr">
        <is>
          <t>D</t>
        </is>
      </c>
      <c r="C167" s="19" t="inlineStr">
        <is>
          <t>Dip and geometry versus mining method</t>
        </is>
      </c>
      <c r="D167" s="19" t="inlineStr">
        <is>
          <t>Open pit: near-surface wide bodies of any dip, or flat bodies under thin cover (a dip below 45 degrees lowers the strip ratio, MP-10). Underground: steep (above 55-60 degrees) tabular bodies preferred for gravity-flow stoping; 20-55 degrees is the most awkward range for either method. Narrow sub-vertical veins are poor open-pit targets.</t>
        </is>
      </c>
      <c r="E167" s="19" t="inlineStr">
        <is>
          <t>Sections; technical report items 7, 14.</t>
        </is>
      </c>
      <c r="F167" s="19" t="inlineStr">
        <is>
          <t>degrees</t>
        </is>
      </c>
      <c r="G167" s="18" t="inlineStr">
        <is>
          <t>D</t>
        </is>
      </c>
      <c r="H167" s="18" t="n">
        <v>3</v>
      </c>
      <c r="I167" s="19" t="inlineStr">
        <is>
          <t>Geometry matched to method = good</t>
        </is>
      </c>
      <c r="J167" s="18" t="inlineStr"/>
      <c r="K167" s="20" t="n"/>
      <c r="L167" s="21" t="n"/>
      <c r="M167" s="20" t="n"/>
      <c r="N167" s="20" t="n"/>
      <c r="O167" s="2">
        <f>IF(G167="All",1,IFERROR(MATCH(G167,{"G","D","R","S"},0)+1,1))</f>
        <v/>
      </c>
      <c r="P167" s="2">
        <f>IF($B$12="","",IF(O167&lt;=$B$12,"yes","no"))</f>
        <v/>
      </c>
    </row>
    <row r="168" ht="71.5" customHeight="1">
      <c r="A168" s="18" t="inlineStr">
        <is>
          <t>D-12</t>
        </is>
      </c>
      <c r="B168" s="18" t="inlineStr">
        <is>
          <t>D</t>
        </is>
      </c>
      <c r="C168" s="19" t="inlineStr">
        <is>
          <t>Number of discovery campaigns</t>
        </is>
      </c>
      <c r="D168" s="19" t="inlineStr">
        <is>
          <t>Count funded drill campaigns with a target-testing objective, across all owners (a recycled project on its fifth owner may be on its fifteenth campaign). Rule of thumb (author's experience): grassroots discoveries are typically made by the third campaign; before funding a fourth, expect a new geological idea or a new data type, otherwise the exploration thesis is stale. Ask what changed in the model, not only whether to abandon.</t>
        </is>
      </c>
      <c r="E168" s="19" t="inlineStr">
        <is>
          <t>Technical report item 6; news releases; assessment files (G-14).</t>
        </is>
      </c>
      <c r="F168" s="19" t="inlineStr">
        <is>
          <t>#</t>
        </is>
      </c>
      <c r="G168" s="18" t="inlineStr">
        <is>
          <t>D</t>
        </is>
      </c>
      <c r="H168" s="18" t="n">
        <v>1</v>
      </c>
      <c r="I168" s="19" t="inlineStr">
        <is>
          <t>Fewer campaigns to a &gt;=50 GT hole is better; 4th without new idea = red flag</t>
        </is>
      </c>
      <c r="J168" s="18" t="inlineStr">
        <is>
          <t>R</t>
        </is>
      </c>
      <c r="K168" s="20" t="n"/>
      <c r="L168" s="21" t="n"/>
      <c r="M168" s="20" t="n"/>
      <c r="N168" s="20" t="n"/>
      <c r="O168" s="2">
        <f>IF(G168="All",1,IFERROR(MATCH(G168,{"G","D","R","S"},0)+1,1))</f>
        <v/>
      </c>
      <c r="P168" s="2">
        <f>IF($B$12="","",IF(O168&lt;=$B$12,"yes","no"))</f>
        <v/>
      </c>
    </row>
    <row r="169" ht="85" customHeight="1">
      <c r="A169" s="18" t="inlineStr">
        <is>
          <t>D-13</t>
        </is>
      </c>
      <c r="B169" s="18" t="inlineStr">
        <is>
          <t>D</t>
        </is>
      </c>
      <c r="C169" s="19" t="inlineStr">
        <is>
          <t>Metres drilled in the discovery programme versus result</t>
        </is>
      </c>
      <c r="D169" s="19" t="inlineStr">
        <is>
          <t>Fewer than 4,000 m with a 75 GT hit could be very significant. Roughly 10,000 m on an initial programme without a hole of at least 50 GT over 5 m = re-examine the targeting model (rule of thumb). For scale: MinEx Consulting's industry-wide figure of roughly 4.5 oz per metre drilled (R-10) implies roughly 200,000 m of industry drilling for every million ounces discovered (verify on minexconsulting.com), so a 10,000 m programme is a small sample.</t>
        </is>
      </c>
      <c r="E169" s="19" t="inlineStr">
        <is>
          <t>News releases; technical report item 10.</t>
        </is>
      </c>
      <c r="F169" s="19" t="inlineStr">
        <is>
          <t>m</t>
        </is>
      </c>
      <c r="G169" s="18" t="inlineStr">
        <is>
          <t>D</t>
        </is>
      </c>
      <c r="H169" s="18" t="n">
        <v>1</v>
      </c>
      <c r="I169" s="19" t="inlineStr">
        <is>
          <t>Big hit on few metres = good</t>
        </is>
      </c>
      <c r="J169" s="18" t="inlineStr"/>
      <c r="K169" s="20" t="n"/>
      <c r="L169" s="21" t="n"/>
      <c r="M169" s="20" t="n"/>
      <c r="N169" s="20" t="n"/>
      <c r="O169" s="2">
        <f>IF(G169="All",1,IFERROR(MATCH(G169,{"G","D","R","S"},0)+1,1))</f>
        <v/>
      </c>
      <c r="P169" s="2">
        <f>IF($B$12="","",IF(O169&lt;=$B$12,"yes","no"))</f>
        <v/>
      </c>
    </row>
    <row r="170" ht="85" customHeight="1">
      <c r="A170" s="18" t="inlineStr">
        <is>
          <t>D-14</t>
        </is>
      </c>
      <c r="B170" s="18" t="inlineStr">
        <is>
          <t>D</t>
        </is>
      </c>
      <c r="C170" s="19" t="inlineStr">
        <is>
          <t>Drilling success rate by programme purpose</t>
        </is>
      </c>
      <c r="D170" s="19" t="inlineStr">
        <is>
          <t>Success = a hole with at least one interval of 10 GT or more; count it yourself from the intercept tables, never use the company's own 'hit rate'. Benchmarks: target-testing or first programme at least 30% is respectable; step-out or extension at least 50-60%; infill or conversion at least 85-90% of holes above resource cut-off (below 80% = the model is not understood). A very high claimed rate on a first programme with no hole above 10 GT means 'mineralised' is being stretched.</t>
        </is>
      </c>
      <c r="E170" s="19" t="inlineStr">
        <is>
          <t>Drill news releases (all holes, including NSI = 'no significant intercept' holes).</t>
        </is>
      </c>
      <c r="F170" s="19" t="inlineStr">
        <is>
          <t>%</t>
        </is>
      </c>
      <c r="G170" s="18" t="inlineStr">
        <is>
          <t>D</t>
        </is>
      </c>
      <c r="H170" s="18" t="n">
        <v>2</v>
      </c>
      <c r="I170" s="19" t="inlineStr">
        <is>
          <t>Higher is better against the benchmark for the purpose</t>
        </is>
      </c>
      <c r="J170" s="18" t="inlineStr"/>
      <c r="K170" s="20" t="n"/>
      <c r="L170" s="21" t="n"/>
      <c r="M170" s="20" t="n"/>
      <c r="N170" s="20" t="n"/>
      <c r="O170" s="2">
        <f>IF(G170="All",1,IFERROR(MATCH(G170,{"G","D","R","S"},0)+1,1))</f>
        <v/>
      </c>
      <c r="P170" s="2">
        <f>IF($B$12="","",IF(O170&lt;=$B$12,"yes","no"))</f>
        <v/>
      </c>
    </row>
    <row r="171" ht="71.5" customHeight="1">
      <c r="A171" s="18" t="inlineStr">
        <is>
          <t>D-15</t>
        </is>
      </c>
      <c r="B171" s="18" t="inlineStr">
        <is>
          <t>D</t>
        </is>
      </c>
      <c r="C171" s="19" t="inlineStr">
        <is>
          <t>Step-out results and what 'open' means</t>
        </is>
      </c>
      <c r="D171" s="19" t="inlineStr">
        <is>
          <t>Distance of successful step-outs from the last hole (hits more than 100 m out indicate continuity). 'Open' in any direction means the last hole in that direction was mineralised above cut-off and no hole exists within 1-2 drill spacings beyond it; ask for the collar map showing the barren perimeter holes. Apply the same test to 'open along strike' and 'open at depth' (R-12, R-13).</t>
        </is>
      </c>
      <c r="E171" s="19" t="inlineStr">
        <is>
          <t>Drill news releases; plan map.</t>
        </is>
      </c>
      <c r="F171" s="19" t="inlineStr">
        <is>
          <t>m</t>
        </is>
      </c>
      <c r="G171" s="18" t="inlineStr">
        <is>
          <t>D</t>
        </is>
      </c>
      <c r="H171" s="18" t="n">
        <v>2</v>
      </c>
      <c r="I171" s="19" t="inlineStr">
        <is>
          <t>Documented continuity = good; unverified 'open' = marketing</t>
        </is>
      </c>
      <c r="J171" s="18" t="inlineStr"/>
      <c r="K171" s="20" t="n"/>
      <c r="L171" s="21" t="n"/>
      <c r="M171" s="20" t="n"/>
      <c r="N171" s="20" t="n"/>
      <c r="O171" s="2">
        <f>IF(G171="All",1,IFERROR(MATCH(G171,{"G","D","R","S"},0)+1,1))</f>
        <v/>
      </c>
      <c r="P171" s="2">
        <f>IF($B$12="","",IF(O171&lt;=$B$12,"yes","no"))</f>
        <v/>
      </c>
    </row>
    <row r="172" ht="98.5" customHeight="1">
      <c r="A172" s="18" t="inlineStr">
        <is>
          <t>D-16</t>
        </is>
      </c>
      <c r="B172" s="18" t="inlineStr">
        <is>
          <t>D</t>
        </is>
      </c>
      <c r="C172" s="19" t="inlineStr">
        <is>
          <t>Deep holes with a stated model reason</t>
        </is>
      </c>
      <c r="D172" s="19" t="inlineStr">
        <is>
          <t>Deep holes only with a model reason (plunge of the ore shoot, i.e. the direction the high-grade zone dives; a porphyry centre beneath a lithocap, the barren clay-silica alteration blanket above it; the boiling zone of an epithermal vein, the depth band where gold precipitated), preferably after shallow drilling has defined geometry; hole depth at least 1.2x the modelled target depth. Open-pit targets need systematic shallow coverage first. Ask what the deepest hole tested and whether it ended in mineralisation. Red flag: every hole stops at the same shallow depth on a system described as 'open at depth'.</t>
        </is>
      </c>
      <c r="E172" s="19" t="inlineStr">
        <is>
          <t>Programme news release; sections.</t>
        </is>
      </c>
      <c r="F172" s="19" t="inlineStr">
        <is>
          <t>Y/N</t>
        </is>
      </c>
      <c r="G172" s="18" t="inlineStr">
        <is>
          <t>D</t>
        </is>
      </c>
      <c r="H172" s="18" t="n">
        <v>3</v>
      </c>
      <c r="I172" s="19" t="inlineStr">
        <is>
          <t>Justified deep holes = good; all holes shallow on 'open at depth' = red flag</t>
        </is>
      </c>
      <c r="J172" s="18" t="inlineStr">
        <is>
          <t>R</t>
        </is>
      </c>
      <c r="K172" s="20" t="n"/>
      <c r="L172" s="21" t="n"/>
      <c r="M172" s="20" t="n"/>
      <c r="N172" s="20" t="n"/>
      <c r="O172" s="2">
        <f>IF(G172="All",1,IFERROR(MATCH(G172,{"G","D","R","S"},0)+1,1))</f>
        <v/>
      </c>
      <c r="P172" s="2">
        <f>IF($B$12="","",IF(O172&lt;=$B$12,"yes","no"))</f>
        <v/>
      </c>
    </row>
    <row r="173" ht="31" customHeight="1">
      <c r="A173" s="14" t="inlineStr">
        <is>
          <t>E</t>
        </is>
      </c>
      <c r="B173" s="15" t="inlineStr">
        <is>
          <t>E</t>
        </is>
      </c>
      <c r="C173" s="14" t="inlineStr">
        <is>
          <t>CURRENT PROGRAMME &amp; FUNDING</t>
        </is>
      </c>
      <c r="D173" s="16" t="inlineStr">
        <is>
          <t>Whether the next programme can be delivered, what it costs, and when results arrive. Stage G onward.</t>
        </is>
      </c>
      <c r="E173" s="17" t="n"/>
      <c r="F173" s="17" t="n"/>
      <c r="G173" s="17" t="n"/>
      <c r="H173" s="17" t="n"/>
      <c r="I173" s="17" t="n"/>
      <c r="J173" s="17" t="n"/>
      <c r="K173" s="17" t="n"/>
      <c r="L173" s="17" t="n"/>
      <c r="M173" s="17" t="n"/>
      <c r="N173" s="17" t="n"/>
      <c r="O173" s="17" t="n"/>
      <c r="P173" s="17" t="n"/>
    </row>
    <row r="174" ht="85" customHeight="1">
      <c r="A174" s="18" t="inlineStr">
        <is>
          <t>E-01</t>
        </is>
      </c>
      <c r="B174" s="18" t="inlineStr">
        <is>
          <t>E</t>
        </is>
      </c>
      <c r="C174" s="19" t="inlineStr">
        <is>
          <t>Programme scope and throughput</t>
        </is>
      </c>
      <c r="D174" s="19" t="inlineStr">
        <is>
          <t>Planned metres, holes, rigs, start and end dates; derive metres per hole and metres per rig-month (one diamond rig ~1,000-2,000 m/month, one RC rig ~3,000-6,000 m/month, ground and depth dependent). Planned metres / (rigs x rate) must fit inside the season (S-09) and the funded period (F-07). After completion: at least 80% of planned metres inside the announced window = good; below 70% without a stated reason = red flag. Contractor and rig availability are scored in S-17; reporting completeness in E-07.</t>
        </is>
      </c>
      <c r="E174" s="19" t="inlineStr">
        <is>
          <t>Programme news release; results releases; Calculators sheet, block 13 (metres per rig-month against the season and the funded period).</t>
        </is>
      </c>
      <c r="F174" s="19" t="inlineStr">
        <is>
          <t>m, #, months</t>
        </is>
      </c>
      <c r="G174" s="18" t="inlineStr">
        <is>
          <t>G</t>
        </is>
      </c>
      <c r="H174" s="18" t="n">
        <v>2</v>
      </c>
      <c r="I174" s="19" t="inlineStr">
        <is>
          <t>&gt;=80% delivered = good; &lt;70% = red flag</t>
        </is>
      </c>
      <c r="J174" s="18" t="inlineStr">
        <is>
          <t>R</t>
        </is>
      </c>
      <c r="K174" s="20" t="n"/>
      <c r="L174" s="21" t="n"/>
      <c r="M174" s="20" t="n"/>
      <c r="N174" s="20" t="n"/>
      <c r="O174" s="2">
        <f>IF(G174="All",1,IFERROR(MATCH(G174,{"G","D","R","S"},0)+1,1))</f>
        <v/>
      </c>
      <c r="P174" s="2">
        <f>IF($B$12="","",IF(O174&lt;=$B$12,"yes","no"))</f>
        <v/>
      </c>
    </row>
    <row r="175" ht="112" customHeight="1">
      <c r="A175" s="18" t="inlineStr">
        <is>
          <t>E-02</t>
        </is>
      </c>
      <c r="B175" s="18" t="inlineStr">
        <is>
          <t>E</t>
        </is>
      </c>
      <c r="C175" s="19" t="inlineStr">
        <is>
          <t>Budget split by purpose</t>
        </is>
      </c>
      <c r="D175" s="19" t="inlineStr">
        <is>
          <t>% of planned metres or budget to (a) regional or generative work (mapping, geochem, geophysics, scout holes), (b) first drill test of drill-ready targets (G-11), (c) delineation and step-out of the known zone, (d) infill and resource definition, (e) geotech and met. Favourable by stage: pre-discovery (a)+(b) at least 80% with at least one stage-D target receiving 2,000 m or more; post-discovery (a hole of 50 GT or more) (c) at least 60%, (a) 10-25%; resource stage (d) 50-70% ahead of an MRE plus at least 10% generative to keep a pipeline. A post-discovery programme giving the discovery zone under 50% of metres = ask why (the promotion often lives in a stream of regional soil-anomaly releases).</t>
        </is>
      </c>
      <c r="E175" s="19" t="inlineStr">
        <is>
          <t>Use-of-proceeds table in the financing release; programme release; budget slide; MD&amp;A planned expenditures.</t>
        </is>
      </c>
      <c r="F175" s="19" t="inlineStr">
        <is>
          <t>%</t>
        </is>
      </c>
      <c r="G175" s="18" t="inlineStr">
        <is>
          <t>G</t>
        </is>
      </c>
      <c r="H175" s="18" t="n">
        <v>2</v>
      </c>
      <c r="I175" s="19" t="inlineStr">
        <is>
          <t>Stage-appropriate split = good</t>
        </is>
      </c>
      <c r="J175" s="18" t="inlineStr"/>
      <c r="K175" s="20" t="n"/>
      <c r="L175" s="21" t="n"/>
      <c r="M175" s="20" t="n"/>
      <c r="N175" s="20" t="n"/>
      <c r="O175" s="2">
        <f>IF(G175="All",1,IFERROR(MATCH(G175,{"G","D","R","S"},0)+1,1))</f>
        <v/>
      </c>
      <c r="P175" s="2">
        <f>IF($B$12="","",IF(O175&lt;=$B$12,"yes","no"))</f>
        <v/>
      </c>
    </row>
    <row r="176" ht="58" customHeight="1">
      <c r="A176" s="18" t="inlineStr">
        <is>
          <t>E-03</t>
        </is>
      </c>
      <c r="B176" s="18" t="inlineStr">
        <is>
          <t>E</t>
        </is>
      </c>
      <c r="C176" s="19" t="inlineStr">
        <is>
          <t>Cost of the test</t>
        </is>
      </c>
      <c r="D176" s="19" t="inlineStr">
        <is>
          <t>Full programme budget to reach a decision point = planned metres x all-in $/m (E-04) plus geophysics, permitting, camp and G&amp;A for the period. Compare with working capital (F-01): if cash is short, a financing comes before results (F-07). Use the Calculators sheet.</t>
        </is>
      </c>
      <c r="E176" s="19" t="inlineStr">
        <is>
          <t>Programme release; E-04; F-01.</t>
        </is>
      </c>
      <c r="F176" s="19" t="inlineStr">
        <is>
          <t>m$</t>
        </is>
      </c>
      <c r="G176" s="18" t="inlineStr">
        <is>
          <t>G</t>
        </is>
      </c>
      <c r="H176" s="18" t="n">
        <v>2</v>
      </c>
      <c r="I176" s="19" t="inlineStr">
        <is>
          <t>Funded from current cash = good</t>
        </is>
      </c>
      <c r="J176" s="18" t="inlineStr"/>
      <c r="K176" s="20" t="n"/>
      <c r="L176" s="21" t="n"/>
      <c r="M176" s="20" t="n"/>
      <c r="N176" s="20" t="n"/>
      <c r="O176" s="2">
        <f>IF(G176="All",1,IFERROR(MATCH(G176,{"G","D","R","S"},0)+1,1))</f>
        <v/>
      </c>
      <c r="P176" s="2">
        <f>IF($B$12="","",IF(O176&lt;=$B$12,"yes","no"))</f>
        <v/>
      </c>
    </row>
    <row r="177" ht="98.5" customHeight="1">
      <c r="A177" s="18" t="inlineStr">
        <is>
          <t>E-04</t>
        </is>
      </c>
      <c r="B177" s="18" t="inlineStr">
        <is>
          <t>E</t>
        </is>
      </c>
      <c r="C177" s="19" t="inlineStr">
        <is>
          <t>All-in drilling cost benchmark (dated September 2026; verify)</t>
        </is>
      </c>
      <c r="D177" s="19" t="inlineStr">
        <is>
          <t>All-in = contractor + mobilisation + assays + camp + helicopter + geology, in a stated currency. Aircore or RAB US$30-60/m; RC US$60-150/m (West Africa RC roughly US$100-150); road-accessible diamond US$150-400/m (Canada roughly C$250-400; Nevada roughly US$250-400); helicopter-supported diamond (Golden Triangle, Yukon) US$500-1,000/m. Divide the company's stated budget by planned metres and compare: an implausibly low $/m means metres will be cut or costs are under-reported. Company-owned rigs (S-17) quote a cash $/m that excludes depreciation and idle-rig cost; it is not comparable with contractor rates.</t>
        </is>
      </c>
      <c r="E177" s="19" t="inlineStr">
        <is>
          <t>Programme release (budget and metres); contractor rate cards; peer programmes.</t>
        </is>
      </c>
      <c r="F177" s="19" t="inlineStr">
        <is>
          <t>$/m</t>
        </is>
      </c>
      <c r="G177" s="18" t="inlineStr">
        <is>
          <t>G</t>
        </is>
      </c>
      <c r="H177" s="18" t="n">
        <v>2</v>
      </c>
      <c r="I177" s="19" t="inlineStr">
        <is>
          <t>Budget consistent with the benchmark = good</t>
        </is>
      </c>
      <c r="J177" s="18" t="inlineStr"/>
      <c r="K177" s="20" t="n"/>
      <c r="L177" s="21" t="n"/>
      <c r="M177" s="20" t="n"/>
      <c r="N177" s="20" t="n"/>
      <c r="O177" s="2">
        <f>IF(G177="All",1,IFERROR(MATCH(G177,{"G","D","R","S"},0)+1,1))</f>
        <v/>
      </c>
      <c r="P177" s="2">
        <f>IF($B$12="","",IF(O177&lt;=$B$12,"yes","no"))</f>
        <v/>
      </c>
    </row>
    <row r="178" ht="112" customHeight="1">
      <c r="A178" s="18" t="inlineStr">
        <is>
          <t>E-05</t>
        </is>
      </c>
      <c r="B178" s="18" t="inlineStr">
        <is>
          <t>E</t>
        </is>
      </c>
      <c r="C178" s="19" t="inlineStr">
        <is>
          <t>Discovery cost (resource stage)</t>
        </is>
      </c>
      <c r="D178" s="19" t="inlineStr">
        <is>
          <t>Cumulative exploration and evaluation spend by the company on this project / global ounces (M&amp;I plus Inferred). Numerator: if E&amp;E is capitalised, the balance-sheet E&amp;E asset note by property gives the cumulative figure (add back any impairment); if expensed, sum the E&amp;E line from each year's statements since acquisition; include acquisition cash paid and say so. Gold, all-in, approximate: below US$20/oz outstanding; 20-50 good; 50-100 industry average; above 100-150 poor. Before a resource exists, use the mid-case size of the prize (V-01) as the denominator and label the result 'implied'. Higher gold prices lower cut-offs and add ounces mechanically, so compare at a constant cut-off.</t>
        </is>
      </c>
      <c r="E178" s="19" t="inlineStr">
        <is>
          <t>Financial statements E&amp;E note by property; R-01.</t>
        </is>
      </c>
      <c r="F178" s="19" t="inlineStr">
        <is>
          <t>$/oz</t>
        </is>
      </c>
      <c r="G178" s="18" t="inlineStr">
        <is>
          <t>R</t>
        </is>
      </c>
      <c r="H178" s="18" t="n">
        <v>3</v>
      </c>
      <c r="I178" s="19" t="inlineStr">
        <is>
          <t>Lower is better; &gt;100-150 = poor</t>
        </is>
      </c>
      <c r="J178" s="18" t="inlineStr"/>
      <c r="K178" s="20" t="n"/>
      <c r="L178" s="21" t="n"/>
      <c r="M178" s="20" t="n"/>
      <c r="N178" s="20" t="n"/>
      <c r="O178" s="2">
        <f>IF(G178="All",1,IFERROR(MATCH(G178,{"G","D","R","S"},0)+1,1))</f>
        <v/>
      </c>
      <c r="P178" s="2">
        <f>IF($B$12="","",IF(O178&lt;=$B$12,"yes","no"))</f>
        <v/>
      </c>
    </row>
    <row r="179" ht="85" customHeight="1">
      <c r="A179" s="18" t="inlineStr">
        <is>
          <t>E-06</t>
        </is>
      </c>
      <c r="B179" s="18" t="inlineStr">
        <is>
          <t>E</t>
        </is>
      </c>
      <c r="C179" s="19" t="inlineStr">
        <is>
          <t>Catalyst calendar, next 12 months</t>
        </is>
      </c>
      <c r="D179" s="19" t="inlineStr">
        <is>
          <t>List with dates: rigs on site; holes completed versus assays released (pending count); stated lab turnaround (6-12 weeks in busy seasons); MRE, PEA or technical-report dates; permit decisions; option and vendor payments due (A-02); warrant expiries and hold-period expiries (K-08, K-09); AGM and option grants. No catalyst for more than 6 months = dead money; catalysts clustered = volatility, so plan entry before, not after. Track the company's past guidance accuracy (said Q2, delivered Q4?).</t>
        </is>
      </c>
      <c r="E179" s="19" t="inlineStr">
        <is>
          <t>News releases; MD&amp;A outlook; K-09.</t>
        </is>
      </c>
      <c r="F179" s="19" t="inlineStr">
        <is>
          <t>dates</t>
        </is>
      </c>
      <c r="G179" s="18" t="inlineStr">
        <is>
          <t>G</t>
        </is>
      </c>
      <c r="H179" s="18" t="n">
        <v>2</v>
      </c>
      <c r="I179" s="19" t="inlineStr">
        <is>
          <t>Dated, credible calendar = good</t>
        </is>
      </c>
      <c r="J179" s="18" t="inlineStr"/>
      <c r="K179" s="20" t="n"/>
      <c r="L179" s="21" t="n"/>
      <c r="M179" s="20" t="n"/>
      <c r="N179" s="20" t="n"/>
      <c r="O179" s="2">
        <f>IF(G179="All",1,IFERROR(MATCH(G179,{"G","D","R","S"},0)+1,1))</f>
        <v/>
      </c>
      <c r="P179" s="2">
        <f>IF($B$12="","",IF(O179&lt;=$B$12,"yes","no"))</f>
        <v/>
      </c>
    </row>
    <row r="180" ht="85" customHeight="1">
      <c r="A180" s="18" t="inlineStr">
        <is>
          <t>E-07</t>
        </is>
      </c>
      <c r="B180" s="18" t="inlineStr">
        <is>
          <t>E</t>
        </is>
      </c>
      <c r="C180" s="19" t="inlineStr">
        <is>
          <t>Planned versus executed and reporting completeness</t>
        </is>
      </c>
      <c r="D180" s="19" t="inlineStr">
        <is>
          <t>Holes and metres reported versus drilled: compare the hole count in the programme or 'drilling completed' release with the hole IDs in the results tables; a gap in the hole-number sequence (e.g. 014 missing between 013 and 015) = a hole drilled but not reported, ask why. Every hole needs a line in a collar table (easting, northing, azimuth, dip, length) and a symbol on the plan map, including no-significant-intercept (NSI) holes. Assays 'pending' for more than 3 months = red flag (D-04).</t>
        </is>
      </c>
      <c r="E180" s="19" t="inlineStr">
        <is>
          <t>Programme and results releases.</t>
        </is>
      </c>
      <c r="F180" s="19" t="inlineStr">
        <is>
          <t>%</t>
        </is>
      </c>
      <c r="G180" s="18" t="inlineStr">
        <is>
          <t>D</t>
        </is>
      </c>
      <c r="H180" s="18" t="n">
        <v>2</v>
      </c>
      <c r="I180" s="19" t="inlineStr">
        <is>
          <t>100% reported = good; missing holes = red flag</t>
        </is>
      </c>
      <c r="J180" s="18" t="inlineStr">
        <is>
          <t>R</t>
        </is>
      </c>
      <c r="K180" s="20" t="n"/>
      <c r="L180" s="21" t="n"/>
      <c r="M180" s="20" t="n"/>
      <c r="N180" s="20" t="n"/>
      <c r="O180" s="2">
        <f>IF(G180="All",1,IFERROR(MATCH(G180,{"G","D","R","S"},0)+1,1))</f>
        <v/>
      </c>
      <c r="P180" s="2">
        <f>IF($B$12="","",IF(O180&lt;=$B$12,"yes","no"))</f>
        <v/>
      </c>
    </row>
    <row r="181" ht="31" customHeight="1">
      <c r="A181" s="14" t="inlineStr">
        <is>
          <t>R</t>
        </is>
      </c>
      <c r="B181" s="15" t="inlineStr">
        <is>
          <t>R</t>
        </is>
      </c>
      <c r="C181" s="14" t="inlineStr">
        <is>
          <t>MINERAL RESOURCE ESTIMATE</t>
        </is>
      </c>
      <c r="D181" s="16" t="inlineStr">
        <is>
          <t>Only from resource stage. Whether the ounces are real, bankable and growing. Gold-calibrated.</t>
        </is>
      </c>
      <c r="E181" s="17" t="n"/>
      <c r="F181" s="17" t="n"/>
      <c r="G181" s="17" t="n"/>
      <c r="H181" s="17" t="n"/>
      <c r="I181" s="17" t="n"/>
      <c r="J181" s="17" t="n"/>
      <c r="K181" s="17" t="n"/>
      <c r="L181" s="17" t="n"/>
      <c r="M181" s="17" t="n"/>
      <c r="N181" s="17" t="n"/>
      <c r="O181" s="17" t="n"/>
      <c r="P181" s="17" t="n"/>
    </row>
    <row r="182" ht="58" customHeight="1">
      <c r="A182" s="18" t="inlineStr">
        <is>
          <t>R-01</t>
        </is>
      </c>
      <c r="B182" s="18" t="inlineStr">
        <is>
          <t>R</t>
        </is>
      </c>
      <c r="C182" s="19" t="inlineStr">
        <is>
          <t>Resource statement</t>
        </is>
      </c>
      <c r="D182" s="19" t="inlineStr">
        <is>
          <t>Measured and Indicated (M&amp;I): tonnes (Mt), grade (g/t Au), ounces (Moz). Inferred: tonnes, grade, ounces. Reporting code and effective date (G-15). Use 'Mt' for million tonnes; 'ore' is reserved for reserves. Scale ounces by attributable interest (J-05) before valuing.</t>
        </is>
      </c>
      <c r="E182" s="19" t="inlineStr">
        <is>
          <t>Technical report item 14; MRE news release.</t>
        </is>
      </c>
      <c r="F182" s="19" t="inlineStr">
        <is>
          <t>Mt, g/t, Moz</t>
        </is>
      </c>
      <c r="G182" s="18" t="inlineStr">
        <is>
          <t>R</t>
        </is>
      </c>
      <c r="H182" s="18" t="n">
        <v>2</v>
      </c>
      <c r="I182" s="19" t="inlineStr">
        <is>
          <t>Info</t>
        </is>
      </c>
      <c r="J182" s="18" t="inlineStr"/>
      <c r="K182" s="20" t="n"/>
      <c r="L182" s="21" t="n"/>
      <c r="M182" s="20" t="n"/>
      <c r="N182" s="20" t="n"/>
      <c r="O182" s="2">
        <f>IF(G182="All",1,IFERROR(MATCH(G182,{"G","D","R","S"},0)+1,1))</f>
        <v/>
      </c>
      <c r="P182" s="2">
        <f>IF($B$12="","",IF(O182&lt;=$B$12,"yes","no"))</f>
        <v/>
      </c>
    </row>
    <row r="183" ht="44.5" customHeight="1">
      <c r="A183" s="18" t="inlineStr">
        <is>
          <t>R-02</t>
        </is>
      </c>
      <c r="B183" s="18" t="inlineStr">
        <is>
          <t>R</t>
        </is>
      </c>
      <c r="C183" s="19" t="inlineStr">
        <is>
          <t>Share of ounces in Inferred</t>
        </is>
      </c>
      <c r="D183" s="19" t="inlineStr">
        <is>
          <t>Inferred / total ounces. Above 50% = early-stage, low bankability: Inferred cannot support reserves or a feasibility study. A 'multi-million-ounce' headline that is mostly Inferred is a marketing resource.</t>
        </is>
      </c>
      <c r="E183" s="19" t="inlineStr">
        <is>
          <t>R-01.</t>
        </is>
      </c>
      <c r="F183" s="19" t="inlineStr">
        <is>
          <t>%</t>
        </is>
      </c>
      <c r="G183" s="18" t="inlineStr">
        <is>
          <t>R</t>
        </is>
      </c>
      <c r="H183" s="18" t="n">
        <v>1</v>
      </c>
      <c r="I183" s="19" t="inlineStr">
        <is>
          <t>Lower is better; &gt;50% = early stage</t>
        </is>
      </c>
      <c r="J183" s="18" t="inlineStr"/>
      <c r="K183" s="20" t="n"/>
      <c r="L183" s="21" t="n"/>
      <c r="M183" s="20" t="n"/>
      <c r="N183" s="20" t="n"/>
      <c r="O183" s="2">
        <f>IF(G183="All",1,IFERROR(MATCH(G183,{"G","D","R","S"},0)+1,1))</f>
        <v/>
      </c>
      <c r="P183" s="2">
        <f>IF($B$12="","",IF(O183&lt;=$B$12,"yes","no"))</f>
        <v/>
      </c>
    </row>
    <row r="184" ht="31" customHeight="1">
      <c r="A184" s="18" t="inlineStr">
        <is>
          <t>R-03</t>
        </is>
      </c>
      <c r="B184" s="18" t="inlineStr">
        <is>
          <t>R</t>
        </is>
      </c>
      <c r="C184" s="19" t="inlineStr">
        <is>
          <t>Inferred grade versus M&amp;I grade</t>
        </is>
      </c>
      <c r="D184" s="19" t="inlineStr">
        <is>
          <t>Inferred grade higher than M&amp;I grade = ask why (usually extrapolation of a few good holes at wide spacing) = red flag.</t>
        </is>
      </c>
      <c r="E184" s="19" t="inlineStr">
        <is>
          <t>R-01.</t>
        </is>
      </c>
      <c r="F184" s="19" t="inlineStr">
        <is>
          <t>ratio</t>
        </is>
      </c>
      <c r="G184" s="18" t="inlineStr">
        <is>
          <t>R</t>
        </is>
      </c>
      <c r="H184" s="18" t="n">
        <v>2</v>
      </c>
      <c r="I184" s="19" t="inlineStr">
        <is>
          <t>Inferred &lt;= M&amp;I grade = good</t>
        </is>
      </c>
      <c r="J184" s="18" t="inlineStr">
        <is>
          <t>R</t>
        </is>
      </c>
      <c r="K184" s="20" t="n"/>
      <c r="L184" s="21" t="n"/>
      <c r="M184" s="20" t="n"/>
      <c r="N184" s="20" t="n"/>
      <c r="O184" s="2">
        <f>IF(G184="All",1,IFERROR(MATCH(G184,{"G","D","R","S"},0)+1,1))</f>
        <v/>
      </c>
      <c r="P184" s="2">
        <f>IF($B$12="","",IF(O184&lt;=$B$12,"yes","no"))</f>
        <v/>
      </c>
    </row>
    <row r="185" ht="166" customHeight="1">
      <c r="A185" s="18" t="inlineStr">
        <is>
          <t>R-04</t>
        </is>
      </c>
      <c r="B185" s="18" t="inlineStr">
        <is>
          <t>R</t>
        </is>
      </c>
      <c r="C185" s="19" t="inlineStr">
        <is>
          <t>Cut-off grade and grade-tonnage sensitivity</t>
        </is>
      </c>
      <c r="D185" s="19" t="inlineStr">
        <is>
          <t>The cut-off must be derived in the report from price, cost and recovery (typical: bulk open pit 0.2-0.4 g/t; small open pit 0.4-0.6; bulk underground 1.0-2.0; selective underground 3-5 g/t), so fixed floors alone cannot tell an inflated MRE from a re-optimised one. Checks: (1) average grade at least 2-3x the cut-off, otherwise most ounces are marginal; (2) from the grade-tonnage table, read the ounces surviving at 0.5 g/t (open pit) or 2.0 g/t (underground), the author's conservative floors: if fewer than 70% of headline ounces survive, or doubling the cut-off removes more than 40% of ounces, the resource is soft or price-inflated; (3) record the gold price behind the cut-off: above the majors' resource price (about US$2,000/oz, see the price deck) = discount the ounces; (4) recompute the break-even cut-off on the Calculators sheet (processing plus G&amp;A cost per tonne / (price per gram x recovery)): a reported cut-off implying unit costs below peers in the same jurisdiction = red flag.</t>
        </is>
      </c>
      <c r="E185" s="19" t="inlineStr">
        <is>
          <t>Technical report item 14 (cut-off derivation, grade-tonnage table).</t>
        </is>
      </c>
      <c r="F185" s="19" t="inlineStr">
        <is>
          <t>g/t</t>
        </is>
      </c>
      <c r="G185" s="18" t="inlineStr">
        <is>
          <t>R</t>
        </is>
      </c>
      <c r="H185" s="18" t="n">
        <v>2</v>
      </c>
      <c r="I185" s="19" t="inlineStr">
        <is>
          <t>Derived cut-off, robust to doubling = good; &lt;70% of ounces surviving the floor, &gt;40% lost on doubling, or cut-off priced above the majors' resource price = red flag</t>
        </is>
      </c>
      <c r="J185" s="18" t="inlineStr">
        <is>
          <t>R</t>
        </is>
      </c>
      <c r="K185" s="20" t="n"/>
      <c r="L185" s="21" t="n"/>
      <c r="M185" s="20" t="n"/>
      <c r="N185" s="20" t="n"/>
      <c r="O185" s="2">
        <f>IF(G185="All",1,IFERROR(MATCH(G185,{"G","D","R","S"},0)+1,1))</f>
        <v/>
      </c>
      <c r="P185" s="2">
        <f>IF($B$12="","",IF(O185&lt;=$B$12,"yes","no"))</f>
        <v/>
      </c>
    </row>
    <row r="186" ht="112" customHeight="1">
      <c r="A186" s="18" t="inlineStr">
        <is>
          <t>R-05</t>
        </is>
      </c>
      <c r="B186" s="18" t="inlineStr">
        <is>
          <t>R</t>
        </is>
      </c>
      <c r="C186" s="19" t="inlineStr">
        <is>
          <t>Pit-shell and price assumptions</t>
        </is>
      </c>
      <c r="D186" s="19" t="inlineStr">
        <is>
          <t>Pit-shell gold price versus the majors' reserve and resource prices and the 3-year trailing average (price deck): at or below the majors' resource price (about US$2,000/oz) = conservative; up to the 3-year average = acceptable; more than 20% above the 3-year average, or at spot, = inflated. Record mining and processing cost, slope angle and recovery used; ounces outside the shell; for underground resources the cut-off and mining-cost basis (RPEEE, see Glossary). What price does the investment case need to work? For non-gold commodities note exchange-traded (Cu, Zn, Ni) versus opaque pricing (Li, graphite, REE): harder exit, single-buyer and product-spec risk.</t>
        </is>
      </c>
      <c r="E186" s="19" t="inlineStr">
        <is>
          <t>Technical report item 14; price deck on the 'DD Questionnaire' header.</t>
        </is>
      </c>
      <c r="F186" s="19" t="inlineStr">
        <is>
          <t>$/oz</t>
        </is>
      </c>
      <c r="G186" s="18" t="inlineStr">
        <is>
          <t>R</t>
        </is>
      </c>
      <c r="H186" s="18" t="n">
        <v>1</v>
      </c>
      <c r="I186" s="19" t="inlineStr">
        <is>
          <t>At or below the majors' resource price = good; &gt;20% above the 3-year average, or at spot, = red flag</t>
        </is>
      </c>
      <c r="J186" s="18" t="inlineStr">
        <is>
          <t>R</t>
        </is>
      </c>
      <c r="K186" s="20" t="n"/>
      <c r="L186" s="21" t="n"/>
      <c r="M186" s="20" t="n"/>
      <c r="N186" s="20" t="n"/>
      <c r="O186" s="2">
        <f>IF(G186="All",1,IFERROR(MATCH(G186,{"G","D","R","S"},0)+1,1))</f>
        <v/>
      </c>
      <c r="P186" s="2">
        <f>IF($B$12="","",IF(O186&lt;=$B$12,"yes","no"))</f>
        <v/>
      </c>
    </row>
    <row r="187" ht="31" customHeight="1">
      <c r="A187" s="18" t="inlineStr">
        <is>
          <t>R-06</t>
        </is>
      </c>
      <c r="B187" s="18" t="inlineStr">
        <is>
          <t>R</t>
        </is>
      </c>
      <c r="C187" s="19" t="inlineStr">
        <is>
          <t>Pit-constrained resource</t>
        </is>
      </c>
      <c r="D187" s="19" t="inlineStr">
        <is>
          <t>Preferred over an unconstrained 'global' ounce count because a cost structure is already considered, but a shell is only as conservative as its inputs (R-05).</t>
        </is>
      </c>
      <c r="E187" s="19" t="inlineStr">
        <is>
          <t>Technical report item 14.</t>
        </is>
      </c>
      <c r="F187" s="19" t="inlineStr">
        <is>
          <t>Y/N</t>
        </is>
      </c>
      <c r="G187" s="18" t="inlineStr">
        <is>
          <t>R</t>
        </is>
      </c>
      <c r="H187" s="18" t="n">
        <v>2</v>
      </c>
      <c r="I187" s="19" t="inlineStr">
        <is>
          <t>Y = good, subject to R-05</t>
        </is>
      </c>
      <c r="J187" s="18" t="inlineStr"/>
      <c r="K187" s="20" t="n"/>
      <c r="L187" s="21" t="n"/>
      <c r="M187" s="20" t="n"/>
      <c r="N187" s="20" t="n"/>
      <c r="O187" s="2">
        <f>IF(G187="All",1,IFERROR(MATCH(G187,{"G","D","R","S"},0)+1,1))</f>
        <v/>
      </c>
      <c r="P187" s="2">
        <f>IF($B$12="","",IF(O187&lt;=$B$12,"yes","no"))</f>
        <v/>
      </c>
    </row>
    <row r="188" ht="58" customHeight="1">
      <c r="A188" s="18" t="inlineStr">
        <is>
          <t>R-07</t>
        </is>
      </c>
      <c r="B188" s="18" t="inlineStr">
        <is>
          <t>R</t>
        </is>
      </c>
      <c r="C188" s="19" t="inlineStr">
        <is>
          <t>Top-cut, capping and nugget effect</t>
        </is>
      </c>
      <c r="D188" s="19" t="inlineStr">
        <is>
          <t>Capping applied (e.g. at 30 g/t Au)? What % of contained ounces comes from the top 5% of samples (ask; above 25% = outlier-driven)? 'Uncapped' or 'no capping necessary' combined with visible gold (D-09) = inflated. Nugget effect and variogram in item 14: a high nugget effect means poor continuity and an expected downgrade at infill.</t>
        </is>
      </c>
      <c r="E188" s="19" t="inlineStr">
        <is>
          <t>Technical report item 14 (capping, variography).</t>
        </is>
      </c>
      <c r="F188" s="19" t="inlineStr">
        <is>
          <t>g/t cap</t>
        </is>
      </c>
      <c r="G188" s="18" t="inlineStr">
        <is>
          <t>R</t>
        </is>
      </c>
      <c r="H188" s="18" t="n">
        <v>2</v>
      </c>
      <c r="I188" s="19" t="inlineStr">
        <is>
          <t>Capped, low nugget = good; uncapped + VG = red flag</t>
        </is>
      </c>
      <c r="J188" s="18" t="inlineStr">
        <is>
          <t>R</t>
        </is>
      </c>
      <c r="K188" s="20" t="n"/>
      <c r="L188" s="21" t="n"/>
      <c r="M188" s="20" t="n"/>
      <c r="N188" s="20" t="n"/>
      <c r="O188" s="2">
        <f>IF(G188="All",1,IFERROR(MATCH(G188,{"G","D","R","S"},0)+1,1))</f>
        <v/>
      </c>
      <c r="P188" s="2">
        <f>IF($B$12="","",IF(O188&lt;=$B$12,"yes","no"))</f>
        <v/>
      </c>
    </row>
    <row r="189" ht="71.5" customHeight="1">
      <c r="A189" s="18" t="inlineStr">
        <is>
          <t>R-08</t>
        </is>
      </c>
      <c r="B189" s="18" t="inlineStr">
        <is>
          <t>R</t>
        </is>
      </c>
      <c r="C189" s="19" t="inlineStr">
        <is>
          <t>Drill spacing and classification</t>
        </is>
      </c>
      <c r="D189" s="19" t="inlineStr">
        <is>
          <t>Typical for vein and shear-hosted gold: Measured 10-25 m, Indicated 25-50 m, Inferred 50-100 m; bulk-tonnage and porphyry: Measured 25-40 m, Indicated 50-80 m, Inferred 100-200 m; narrow nuggety veins (under 2 m): 10-15 m and often never Measured before underground development. Classification must be justified by variography or a drill-spacing study, not a fixed grid; compare the QP's stated spacing with the grid actually drilled.</t>
        </is>
      </c>
      <c r="E189" s="19" t="inlineStr">
        <is>
          <t>Technical report item 14; plan map.</t>
        </is>
      </c>
      <c r="F189" s="19" t="inlineStr">
        <is>
          <t>m</t>
        </is>
      </c>
      <c r="G189" s="18" t="inlineStr">
        <is>
          <t>R</t>
        </is>
      </c>
      <c r="H189" s="18" t="n">
        <v>2</v>
      </c>
      <c r="I189" s="19" t="inlineStr">
        <is>
          <t>Justified classification = good</t>
        </is>
      </c>
      <c r="J189" s="18" t="inlineStr"/>
      <c r="K189" s="20" t="n"/>
      <c r="L189" s="21" t="n"/>
      <c r="M189" s="20" t="n"/>
      <c r="N189" s="20" t="n"/>
      <c r="O189" s="2">
        <f>IF(G189="All",1,IFERROR(MATCH(G189,{"G","D","R","S"},0)+1,1))</f>
        <v/>
      </c>
      <c r="P189" s="2">
        <f>IF($B$12="","",IF(O189&lt;=$B$12,"yes","no"))</f>
        <v/>
      </c>
    </row>
    <row r="190" ht="71.5" customHeight="1">
      <c r="A190" s="18" t="inlineStr">
        <is>
          <t>R-09</t>
        </is>
      </c>
      <c r="B190" s="18" t="inlineStr">
        <is>
          <t>R</t>
        </is>
      </c>
      <c r="C190" s="19" t="inlineStr">
        <is>
          <t>In-situ bulk density by domain</t>
        </is>
      </c>
      <c r="D190" s="19" t="inlineStr">
        <is>
          <t>Tonnes = volume x density, so a 10% density error is a 10% ounce error. How many measurements, by which method (water immersion on core; wax-coated for porous oxide), per lithology and weathering domain? Typical: oxide 1.8-2.3, transition 2.3-2.6, fresh 2.6-2.9, massive sulphide 3.5-4.5 t/m3. A single density for the whole deposit, or fresh-rock density applied to oxide, = red flag.</t>
        </is>
      </c>
      <c r="E190" s="19" t="inlineStr">
        <is>
          <t>Technical report item 14.</t>
        </is>
      </c>
      <c r="F190" s="19" t="inlineStr">
        <is>
          <t>t/m3</t>
        </is>
      </c>
      <c r="G190" s="18" t="inlineStr">
        <is>
          <t>R</t>
        </is>
      </c>
      <c r="H190" s="18" t="n">
        <v>2</v>
      </c>
      <c r="I190" s="19" t="inlineStr">
        <is>
          <t>Measured, by domain = good; single density = red flag</t>
        </is>
      </c>
      <c r="J190" s="18" t="inlineStr">
        <is>
          <t>R</t>
        </is>
      </c>
      <c r="K190" s="20" t="n"/>
      <c r="L190" s="21" t="n"/>
      <c r="M190" s="20" t="n"/>
      <c r="N190" s="20" t="n"/>
      <c r="O190" s="2">
        <f>IF(G190="All",1,IFERROR(MATCH(G190,{"G","D","R","S"},0)+1,1))</f>
        <v/>
      </c>
      <c r="P190" s="2">
        <f>IF($B$12="","",IF(O190&lt;=$B$12,"yes","no"))</f>
        <v/>
      </c>
    </row>
    <row r="191" ht="112" customHeight="1">
      <c r="A191" s="18" t="inlineStr">
        <is>
          <t>R-10</t>
        </is>
      </c>
      <c r="B191" s="18" t="inlineStr">
        <is>
          <t>R</t>
        </is>
      </c>
      <c r="C191" s="19" t="inlineStr">
        <is>
          <t>Ounces per metre drilled and resource growth history</t>
        </is>
      </c>
      <c r="D191" s="19" t="inlineStr">
        <is>
          <t>M&amp;I ounces / total metres drilled on the deposit by all operators (technical report item 10 table, or sum the metres in news releases). Above 8-10 oz/m excellent; 5-15 typical for a well-drilled deposit; 3-5 industry-typical including failed metres (MinEx Consulting: roughly 4.5 oz/m); below 3 = expensive or low-grade discovery (check drilling cost E-04 and discovery cost per ounce E-05). Above 25-30 oz/m with Inferred above 60% = under-drilled (red flag; check R-08). Growth history: ounces added by drilling versus by cut-off, price or reclassification changes. Early-stage proxy: mid-case prize (V-01) / metres drilled so far.</t>
        </is>
      </c>
      <c r="E191" s="19" t="inlineStr">
        <is>
          <t>Technical report items 10 and 14; MRE history.</t>
        </is>
      </c>
      <c r="F191" s="19" t="inlineStr">
        <is>
          <t>oz/m</t>
        </is>
      </c>
      <c r="G191" s="18" t="inlineStr">
        <is>
          <t>R</t>
        </is>
      </c>
      <c r="H191" s="18" t="n">
        <v>2</v>
      </c>
      <c r="I191" s="19" t="inlineStr">
        <is>
          <t>8-15 oz/m = good; &gt;25 with mostly Inferred = red flag</t>
        </is>
      </c>
      <c r="J191" s="18" t="inlineStr">
        <is>
          <t>R</t>
        </is>
      </c>
      <c r="K191" s="20" t="n"/>
      <c r="L191" s="21" t="n"/>
      <c r="M191" s="20" t="n"/>
      <c r="N191" s="20" t="n"/>
      <c r="O191" s="2">
        <f>IF(G191="All",1,IFERROR(MATCH(G191,{"G","D","R","S"},0)+1,1))</f>
        <v/>
      </c>
      <c r="P191" s="2">
        <f>IF($B$12="","",IF(O191&lt;=$B$12,"yes","no"))</f>
        <v/>
      </c>
    </row>
    <row r="192" ht="31" customHeight="1">
      <c r="A192" s="18" t="inlineStr">
        <is>
          <t>R-11</t>
        </is>
      </c>
      <c r="B192" s="18" t="inlineStr">
        <is>
          <t>R</t>
        </is>
      </c>
      <c r="C192" s="19" t="inlineStr">
        <is>
          <t>Depth of the resource and share below the pit shell</t>
        </is>
      </c>
      <c r="D192" s="19" t="inlineStr">
        <is>
          <t>Depth of the resource; % of ounces below the pit shell; do those support an underground phase (R-17)?</t>
        </is>
      </c>
      <c r="E192" s="19" t="inlineStr">
        <is>
          <t>Technical report item 14.</t>
        </is>
      </c>
      <c r="F192" s="19" t="inlineStr">
        <is>
          <t>m, %</t>
        </is>
      </c>
      <c r="G192" s="18" t="inlineStr">
        <is>
          <t>R</t>
        </is>
      </c>
      <c r="H192" s="18" t="n">
        <v>3</v>
      </c>
      <c r="I192" s="19" t="inlineStr">
        <is>
          <t>Info</t>
        </is>
      </c>
      <c r="J192" s="18" t="inlineStr"/>
      <c r="K192" s="20" t="n"/>
      <c r="L192" s="21" t="n"/>
      <c r="M192" s="20" t="n"/>
      <c r="N192" s="20" t="n"/>
      <c r="O192" s="2">
        <f>IF(G192="All",1,IFERROR(MATCH(G192,{"G","D","R","S"},0)+1,1))</f>
        <v/>
      </c>
      <c r="P192" s="2">
        <f>IF($B$12="","",IF(O192&lt;=$B$12,"yes","no"))</f>
        <v/>
      </c>
    </row>
    <row r="193" ht="85" customHeight="1">
      <c r="A193" s="18" t="inlineStr">
        <is>
          <t>R-12</t>
        </is>
      </c>
      <c r="B193" s="18" t="inlineStr">
        <is>
          <t>R</t>
        </is>
      </c>
      <c r="C193" s="19" t="inlineStr">
        <is>
          <t>Open at depth or down plunge (verified)</t>
        </is>
      </c>
      <c r="D193" s="19" t="inlineStr">
        <is>
          <t>Apply the D-15 test: the last down-dip hole was mineralised above cut-off and no deeper hole exists within 1-2 spacings; ask for the section. For a pit-constrained resource, depth extension only matters if it supports an underground phase (R-17) or a deeper pit within the strip-ratio limit (MP-10); otherwise weight strike and near-surface extensions higher. Limited upside caps the re-rating (treat as a value stock, not a discovery play); it is not an automatic exit.</t>
        </is>
      </c>
      <c r="E193" s="19" t="inlineStr">
        <is>
          <t>Sections; drill releases.</t>
        </is>
      </c>
      <c r="F193" s="19" t="inlineStr">
        <is>
          <t>Y/N</t>
        </is>
      </c>
      <c r="G193" s="18" t="inlineStr">
        <is>
          <t>R</t>
        </is>
      </c>
      <c r="H193" s="18" t="n">
        <v>2</v>
      </c>
      <c r="I193" s="19" t="inlineStr">
        <is>
          <t>Verified open = good</t>
        </is>
      </c>
      <c r="J193" s="18" t="inlineStr"/>
      <c r="K193" s="20" t="n"/>
      <c r="L193" s="21" t="n"/>
      <c r="M193" s="20" t="n"/>
      <c r="N193" s="20" t="n"/>
      <c r="O193" s="2">
        <f>IF(G193="All",1,IFERROR(MATCH(G193,{"G","D","R","S"},0)+1,1))</f>
        <v/>
      </c>
      <c r="P193" s="2">
        <f>IF($B$12="","",IF(O193&lt;=$B$12,"yes","no"))</f>
        <v/>
      </c>
    </row>
    <row r="194" ht="31" customHeight="1">
      <c r="A194" s="18" t="inlineStr">
        <is>
          <t>R-13</t>
        </is>
      </c>
      <c r="B194" s="18" t="inlineStr">
        <is>
          <t>R</t>
        </is>
      </c>
      <c r="C194" s="19" t="inlineStr">
        <is>
          <t>Open along strike (verified)</t>
        </is>
      </c>
      <c r="D194" s="19" t="inlineStr">
        <is>
          <t>A marketing phrase until proven: check the collar map for barren perimeter holes or untested ground (D-15, D-07).</t>
        </is>
      </c>
      <c r="E194" s="19" t="inlineStr">
        <is>
          <t>Plan map; drill releases.</t>
        </is>
      </c>
      <c r="F194" s="19" t="inlineStr">
        <is>
          <t>Y/N</t>
        </is>
      </c>
      <c r="G194" s="18" t="inlineStr">
        <is>
          <t>R</t>
        </is>
      </c>
      <c r="H194" s="18" t="n">
        <v>2</v>
      </c>
      <c r="I194" s="19" t="inlineStr">
        <is>
          <t>Verified open = good; unverified = marketing</t>
        </is>
      </c>
      <c r="J194" s="18" t="inlineStr"/>
      <c r="K194" s="20" t="n"/>
      <c r="L194" s="21" t="n"/>
      <c r="M194" s="20" t="n"/>
      <c r="N194" s="20" t="n"/>
      <c r="O194" s="2">
        <f>IF(G194="All",1,IFERROR(MATCH(G194,{"G","D","R","S"},0)+1,1))</f>
        <v/>
      </c>
      <c r="P194" s="2">
        <f>IF($B$12="","",IF(O194&lt;=$B$12,"yes","no"))</f>
        <v/>
      </c>
    </row>
    <row r="195" ht="31" customHeight="1">
      <c r="A195" s="18" t="inlineStr">
        <is>
          <t>R-14</t>
        </is>
      </c>
      <c r="B195" s="18" t="inlineStr">
        <is>
          <t>R</t>
        </is>
      </c>
      <c r="C195" s="19" t="inlineStr">
        <is>
          <t>Cross and long sections</t>
        </is>
      </c>
      <c r="D195" s="19" t="inlineStr">
        <is>
          <t>Available and consistent: mineralisation continuous between holes, no low-metal blocks inside the resource envelope (those raise mining dilution and operational risk).</t>
        </is>
      </c>
      <c r="E195" s="19" t="inlineStr">
        <is>
          <t>Technical report item 14; technical presentation.</t>
        </is>
      </c>
      <c r="F195" s="19" t="inlineStr">
        <is>
          <t>Y/N</t>
        </is>
      </c>
      <c r="G195" s="18" t="inlineStr">
        <is>
          <t>R</t>
        </is>
      </c>
      <c r="H195" s="18" t="n">
        <v>2</v>
      </c>
      <c r="I195" s="19" t="inlineStr">
        <is>
          <t>Y = good</t>
        </is>
      </c>
      <c r="J195" s="18" t="inlineStr"/>
      <c r="K195" s="20" t="n"/>
      <c r="L195" s="21" t="n"/>
      <c r="M195" s="20" t="n"/>
      <c r="N195" s="20" t="n"/>
      <c r="O195" s="2">
        <f>IF(G195="All",1,IFERROR(MATCH(G195,{"G","D","R","S"},0)+1,1))</f>
        <v/>
      </c>
      <c r="P195" s="2">
        <f>IF($B$12="","",IF(O195&lt;=$B$12,"yes","no"))</f>
        <v/>
      </c>
    </row>
    <row r="196" ht="85" customHeight="1">
      <c r="A196" s="18" t="inlineStr">
        <is>
          <t>R-15</t>
        </is>
      </c>
      <c r="B196" s="18" t="inlineStr">
        <is>
          <t>R</t>
        </is>
      </c>
      <c r="C196" s="19" t="inlineStr">
        <is>
          <t>Block model and estimation parameters</t>
        </is>
      </c>
      <c r="D196" s="19" t="inlineStr">
        <is>
          <t>If an MRE exists: parent block size versus drill spacing (blocks should be roughly one-third to one-half of the spacing; much smaller blocks smear grade), estimation method (ordinary kriging versus inverse distance), capping (R-07), domains geological or grade shells, search orientation matching the geology. Ask for a section through the block model on a fixed grade scale showing the cut-off. A colour-ramped screenshot alone proves nothing.</t>
        </is>
      </c>
      <c r="E196" s="19" t="inlineStr">
        <is>
          <t>Technical report item 14; JORC Table 1 section 3.</t>
        </is>
      </c>
      <c r="F196" s="19" t="inlineStr">
        <is>
          <t>Y/N</t>
        </is>
      </c>
      <c r="G196" s="18" t="inlineStr">
        <is>
          <t>R</t>
        </is>
      </c>
      <c r="H196" s="18" t="n">
        <v>3</v>
      </c>
      <c r="I196" s="19" t="inlineStr">
        <is>
          <t>Documented parameters = good</t>
        </is>
      </c>
      <c r="J196" s="18" t="inlineStr"/>
      <c r="K196" s="20" t="n"/>
      <c r="L196" s="21" t="n"/>
      <c r="M196" s="20" t="n"/>
      <c r="N196" s="20" t="n"/>
      <c r="O196" s="2">
        <f>IF(G196="All",1,IFERROR(MATCH(G196,{"G","D","R","S"},0)+1,1))</f>
        <v/>
      </c>
      <c r="P196" s="2">
        <f>IF($B$12="","",IF(O196&lt;=$B$12,"yes","no"))</f>
        <v/>
      </c>
    </row>
    <row r="197" ht="31" customHeight="1">
      <c r="A197" s="18" t="inlineStr">
        <is>
          <t>R-16</t>
        </is>
      </c>
      <c r="B197" s="18" t="inlineStr">
        <is>
          <t>R</t>
        </is>
      </c>
      <c r="C197" s="19" t="inlineStr">
        <is>
          <t>Historic (non-compliant) estimates quoted</t>
        </is>
      </c>
      <c r="D197" s="19" t="inlineStr">
        <is>
          <t>Any historical estimate must be labelled as such and cannot be relied on until a QP redoes it (NI 43-101 s.2.4). Presented as current = red flag (see G-12).</t>
        </is>
      </c>
      <c r="E197" s="19" t="inlineStr">
        <is>
          <t>News releases; corporate deck.</t>
        </is>
      </c>
      <c r="F197" s="19" t="inlineStr">
        <is>
          <t>Y/N</t>
        </is>
      </c>
      <c r="G197" s="18" t="inlineStr">
        <is>
          <t>R</t>
        </is>
      </c>
      <c r="H197" s="18" t="n">
        <v>2</v>
      </c>
      <c r="I197" s="19" t="inlineStr">
        <is>
          <t>N = good; presented as current = red flag</t>
        </is>
      </c>
      <c r="J197" s="18" t="inlineStr">
        <is>
          <t>R</t>
        </is>
      </c>
      <c r="K197" s="20" t="n"/>
      <c r="L197" s="21" t="n"/>
      <c r="M197" s="20" t="n"/>
      <c r="N197" s="20" t="n"/>
      <c r="O197" s="2">
        <f>IF(G197="All",1,IFERROR(MATCH(G197,{"G","D","R","S"},0)+1,1))</f>
        <v/>
      </c>
      <c r="P197" s="2">
        <f>IF($B$12="","",IF(O197&lt;=$B$12,"yes","no"))</f>
        <v/>
      </c>
    </row>
    <row r="198" ht="112" customHeight="1">
      <c r="A198" s="18" t="inlineStr">
        <is>
          <t>R-17</t>
        </is>
      </c>
      <c r="B198" s="18" t="inlineStr">
        <is>
          <t>R</t>
        </is>
      </c>
      <c r="C198" s="19" t="inlineStr">
        <is>
          <t>Underground potential</t>
        </is>
      </c>
      <c r="D198" s="19" t="inlineStr">
        <is>
          <t>Underground needs high metal value per tonne to pay for development: above 3 g/t and above 2 m true width for selective methods; above 2 g/t for bulk methods (longhole, sub-level caving); below about 3 g/t diluted treat as an open-pit-only story. Stand-alone underground mine: typically 0.5-1.0 Moz M&amp;I or more at 4-5 g/t diluted with realistic conversion, supporting 7-8 years or more at 60-100 koz p.a., evaluated at the majors' reserve price; with an existing mill nearby 200-400 koz can work. Check grade x thickness above 15 g/t x m per stope and dip above 55 degrees for gravity-flow (longhole) stoping (D-11). 'Reserve' does not exist for an explorer; use the resource.</t>
        </is>
      </c>
      <c r="E198" s="19" t="inlineStr">
        <is>
          <t>R-01; D-10; D-11; technical report item 16 if any.</t>
        </is>
      </c>
      <c r="F198" s="19" t="inlineStr">
        <is>
          <t>Y/N + Moz</t>
        </is>
      </c>
      <c r="G198" s="18" t="inlineStr">
        <is>
          <t>R</t>
        </is>
      </c>
      <c r="H198" s="18" t="n">
        <v>2</v>
      </c>
      <c r="I198" s="19" t="inlineStr">
        <is>
          <t>Meets the grade, width and size tests = good</t>
        </is>
      </c>
      <c r="J198" s="18" t="inlineStr"/>
      <c r="K198" s="20" t="n"/>
      <c r="L198" s="21" t="n"/>
      <c r="M198" s="20" t="n"/>
      <c r="N198" s="20" t="n"/>
      <c r="O198" s="2">
        <f>IF(G198="All",1,IFERROR(MATCH(G198,{"G","D","R","S"},0)+1,1))</f>
        <v/>
      </c>
      <c r="P198" s="2">
        <f>IF($B$12="","",IF(O198&lt;=$B$12,"yes","no"))</f>
        <v/>
      </c>
    </row>
    <row r="199" ht="85" customHeight="1">
      <c r="A199" s="18" t="inlineStr">
        <is>
          <t>R-18</t>
        </is>
      </c>
      <c r="B199" s="18" t="inlineStr">
        <is>
          <t>R</t>
        </is>
      </c>
      <c r="C199" s="19" t="inlineStr">
        <is>
          <t>Open-pit potential</t>
        </is>
      </c>
      <c r="D199" s="19" t="inlineStr">
        <is>
          <t>Depends on geometry, not depth alone: wide (more than 30-50 m) shallow-dipping bodies can carry 50-100 m of pre-strip; narrow steep veins lose open-pit economics below roughly 100-150 m. Ask for depth to the top of mineralisation (D-08), true width and dip, and the pit-shell depth; run the strip-ratio screen (MP-10). Settlements or farmland inside a plausible pit shell = major cost, time and social risk (check resettlement action plan status and budget, T-08), not an automatic exclusion.</t>
        </is>
      </c>
      <c r="E199" s="19" t="inlineStr">
        <is>
          <t>D-08; sections; technical report items 14-16.</t>
        </is>
      </c>
      <c r="F199" s="19" t="inlineStr">
        <is>
          <t>Y/N + m</t>
        </is>
      </c>
      <c r="G199" s="18" t="inlineStr">
        <is>
          <t>R</t>
        </is>
      </c>
      <c r="H199" s="18" t="n">
        <v>2</v>
      </c>
      <c r="I199" s="19" t="inlineStr">
        <is>
          <t>Geometry supports a pit = good</t>
        </is>
      </c>
      <c r="J199" s="18" t="inlineStr"/>
      <c r="K199" s="20" t="n"/>
      <c r="L199" s="21" t="n"/>
      <c r="M199" s="20" t="n"/>
      <c r="N199" s="20" t="n"/>
      <c r="O199" s="2">
        <f>IF(G199="All",1,IFERROR(MATCH(G199,{"G","D","R","S"},0)+1,1))</f>
        <v/>
      </c>
      <c r="P199" s="2">
        <f>IF($B$12="","",IF(O199&lt;=$B$12,"yes","no"))</f>
        <v/>
      </c>
    </row>
    <row r="200" ht="44.5" customHeight="1">
      <c r="A200" s="14" t="inlineStr">
        <is>
          <t>MP</t>
        </is>
      </c>
      <c r="B200" s="15" t="inlineStr">
        <is>
          <t>MP</t>
        </is>
      </c>
      <c r="C200" s="14" t="inlineStr">
        <is>
          <t>MINING &amp; PROCESSING</t>
        </is>
      </c>
      <c r="D200" s="16" t="inlineStr">
        <is>
          <t>Mostly from study stage (S) once metallurgical test work exists; MP-07, MP-08 and MP-13 give early warnings from geology and core, and MP-01, MP-02, MP-05 apply from resource stage.</t>
        </is>
      </c>
      <c r="E200" s="17" t="n"/>
      <c r="F200" s="17" t="n"/>
      <c r="G200" s="17" t="n"/>
      <c r="H200" s="17" t="n"/>
      <c r="I200" s="17" t="n"/>
      <c r="J200" s="17" t="n"/>
      <c r="K200" s="17" t="n"/>
      <c r="L200" s="17" t="n"/>
      <c r="M200" s="17" t="n"/>
      <c r="N200" s="17" t="n"/>
      <c r="O200" s="17" t="n"/>
      <c r="P200" s="17" t="n"/>
    </row>
    <row r="201" ht="44.5" customHeight="1">
      <c r="A201" s="18" t="inlineStr">
        <is>
          <t>MP-01</t>
        </is>
      </c>
      <c r="B201" s="18" t="inlineStr">
        <is>
          <t>MP</t>
        </is>
      </c>
      <c r="C201" s="19" t="inlineStr">
        <is>
          <t>Conceptual process route</t>
        </is>
      </c>
      <c r="D201" s="19" t="inlineStr">
        <is>
          <t>Stated from mineralogy or preliminary tests (a block process flow diagram is enough). Early indications of complicated metallurgy or refractory gold (MP-05) change the economics more than any other single factor after grade. Grade is king.</t>
        </is>
      </c>
      <c r="E201" s="19" t="inlineStr">
        <is>
          <t>Technical report item 13; news releases.</t>
        </is>
      </c>
      <c r="F201" s="19" t="inlineStr">
        <is>
          <t>Y/N</t>
        </is>
      </c>
      <c r="G201" s="18" t="inlineStr">
        <is>
          <t>R</t>
        </is>
      </c>
      <c r="H201" s="18" t="n">
        <v>2</v>
      </c>
      <c r="I201" s="19" t="inlineStr">
        <is>
          <t>Stated and simple = good</t>
        </is>
      </c>
      <c r="J201" s="18" t="inlineStr"/>
      <c r="K201" s="20" t="n"/>
      <c r="L201" s="21" t="n"/>
      <c r="M201" s="20" t="n"/>
      <c r="N201" s="20" t="n"/>
      <c r="O201" s="2">
        <f>IF(G201="All",1,IFERROR(MATCH(G201,{"G","D","R","S"},0)+1,1))</f>
        <v/>
      </c>
      <c r="P201" s="2">
        <f>IF($B$12="","",IF(O201&lt;=$B$12,"yes","no"))</f>
        <v/>
      </c>
    </row>
    <row r="202" ht="98.5" customHeight="1">
      <c r="A202" s="18" t="inlineStr">
        <is>
          <t>MP-02</t>
        </is>
      </c>
      <c r="B202" s="18" t="inlineStr">
        <is>
          <t>MP</t>
        </is>
      </c>
      <c r="C202" s="19" t="inlineStr">
        <is>
          <t>Metallurgical test work: representativeness</t>
        </is>
      </c>
      <c r="D202" s="19" t="inlineStr">
        <is>
          <t>Samples from drill core, not surface or trench material (surface and oxidised samples overstate recovery for sulphide ore); composite grade versus resource grade (a high-grade composite flatters recovery); number of composites per domain (oxide, transition, fresh; by lithology); tests done (bottle roll, diagnostic leach, GRG, column leach, mineralogy or QEMSCAN (automated mineralogy), Bond work index (ore hardness, drives grinding cost)); deleterious elements (As, Sb, Cu, Hg, organic carbon); cyanide and lime consumption. A single 20 kg bench-scale test cannot capture the variability of an ore body.</t>
        </is>
      </c>
      <c r="E202" s="19" t="inlineStr">
        <is>
          <t>Technical report item 13; met news releases.</t>
        </is>
      </c>
      <c r="F202" s="19" t="inlineStr">
        <is>
          <t>Y/N</t>
        </is>
      </c>
      <c r="G202" s="18" t="inlineStr">
        <is>
          <t>R</t>
        </is>
      </c>
      <c r="H202" s="18" t="n">
        <v>2</v>
      </c>
      <c r="I202" s="19" t="inlineStr">
        <is>
          <t>Representative, per-domain, variability tested = good</t>
        </is>
      </c>
      <c r="J202" s="18" t="inlineStr">
        <is>
          <t>R</t>
        </is>
      </c>
      <c r="K202" s="20" t="n"/>
      <c r="L202" s="21" t="n"/>
      <c r="M202" s="20" t="n"/>
      <c r="N202" s="20" t="n"/>
      <c r="O202" s="2">
        <f>IF(G202="All",1,IFERROR(MATCH(G202,{"G","D","R","S"},0)+1,1))</f>
        <v/>
      </c>
      <c r="P202" s="2">
        <f>IF($B$12="","",IF(O202&lt;=$B$12,"yes","no"))</f>
        <v/>
      </c>
    </row>
    <row r="203" ht="112" customHeight="1">
      <c r="A203" s="18" t="inlineStr">
        <is>
          <t>MP-03</t>
        </is>
      </c>
      <c r="B203" s="18" t="inlineStr">
        <is>
          <t>MP</t>
        </is>
      </c>
      <c r="C203" s="19" t="inlineStr">
        <is>
          <t>Recovery by processing route</t>
        </is>
      </c>
      <c r="D203" s="19" t="inlineStr">
        <is>
          <t>Judge against the route, not one number: CIL/CIP on free-milling ore above 90% oxide and above 85% fresh (below 85% = check for refractoriness); gravity plus CIL above 85%; heap leach on oxide 65-80% for crushed and agglomerated ore, 50-65% for run-of-mine (state which; from column tests, not bottle rolls); flotation-concentrate route: report both concentrate recovery and payable recovery after treatment charges and penalties; refractory after pressure oxidation, bio-oxidation or roasting above 85% but check capex. Anything below 60%, or undisclosed after PEA stage, = red flag. Ask for the grind size (P80, the sieve size 80% of the ground ore passes), reagent consumption and sample type.</t>
        </is>
      </c>
      <c r="E203" s="19" t="inlineStr">
        <is>
          <t>Technical report item 13.</t>
        </is>
      </c>
      <c r="F203" s="19" t="inlineStr">
        <is>
          <t>%</t>
        </is>
      </c>
      <c r="G203" s="18" t="inlineStr">
        <is>
          <t>S</t>
        </is>
      </c>
      <c r="H203" s="18" t="n">
        <v>1</v>
      </c>
      <c r="I203" s="19" t="inlineStr">
        <is>
          <t>Meets the route benchmark = good; &lt;60% = red flag</t>
        </is>
      </c>
      <c r="J203" s="18" t="inlineStr">
        <is>
          <t>R</t>
        </is>
      </c>
      <c r="K203" s="20" t="n"/>
      <c r="L203" s="21" t="n"/>
      <c r="M203" s="20" t="n"/>
      <c r="N203" s="20" t="n"/>
      <c r="O203" s="2">
        <f>IF(G203="All",1,IFERROR(MATCH(G203,{"G","D","R","S"},0)+1,1))</f>
        <v/>
      </c>
      <c r="P203" s="2">
        <f>IF($B$12="","",IF(O203&lt;=$B$12,"yes","no"))</f>
        <v/>
      </c>
    </row>
    <row r="204" ht="31" customHeight="1">
      <c r="A204" s="18" t="inlineStr">
        <is>
          <t>MP-04</t>
        </is>
      </c>
      <c r="B204" s="18" t="inlineStr">
        <is>
          <t>MP</t>
        </is>
      </c>
      <c r="C204" s="19" t="inlineStr">
        <is>
          <t>Gravity-recoverable gold (GRG)</t>
        </is>
      </c>
      <c r="D204" s="19" t="inlineStr">
        <is>
          <t>Share of gold recoverable by gravity alone (Knelson or GRG test). Above 30% = favourable (cheap recovery), but coarse gold also means a nugget effect (D-09, R-07).</t>
        </is>
      </c>
      <c r="E204" s="19" t="inlineStr">
        <is>
          <t>Technical report item 13.</t>
        </is>
      </c>
      <c r="F204" s="19" t="inlineStr">
        <is>
          <t>%</t>
        </is>
      </c>
      <c r="G204" s="18" t="inlineStr">
        <is>
          <t>S</t>
        </is>
      </c>
      <c r="H204" s="18" t="n">
        <v>2</v>
      </c>
      <c r="I204" s="19" t="inlineStr">
        <is>
          <t>Higher is better</t>
        </is>
      </c>
      <c r="J204" s="18" t="inlineStr"/>
      <c r="K204" s="20" t="n"/>
      <c r="L204" s="21" t="n"/>
      <c r="M204" s="20" t="n"/>
      <c r="N204" s="20" t="n"/>
      <c r="O204" s="2">
        <f>IF(G204="All",1,IFERROR(MATCH(G204,{"G","D","R","S"},0)+1,1))</f>
        <v/>
      </c>
      <c r="P204" s="2">
        <f>IF($B$12="","",IF(O204&lt;=$B$12,"yes","no"))</f>
        <v/>
      </c>
    </row>
    <row r="205" ht="139" customHeight="1">
      <c r="A205" s="18" t="inlineStr">
        <is>
          <t>MP-05</t>
        </is>
      </c>
      <c r="B205" s="18" t="inlineStr">
        <is>
          <t>MP</t>
        </is>
      </c>
      <c r="C205" s="19" t="inlineStr">
        <is>
          <t>Free-milling versus refractory</t>
        </is>
      </c>
      <c r="D205" s="19" t="inlineStr">
        <is>
          <t>Free-milling = more than 90% of gold recovered by direct cyanidation in a bottle-roll test. Refractory = gold locked in pyrite or arsenopyrite, or lost to preg-robbing carbon: suspect it if cyanide recovery is below 80% or As, Sb or organic carbon are elevated. Soluble copper above about 0.1% in the leach feed is a separate problem (a cyanide consumer, 'cyanicide'): recovery may be fine but reagent cost is not. Treatment (pressure oxidation, bio-oxidation, roasting, Albion, ultrafine grind) costs roughly 2-3x CIL operating cost and 1.5-2.5x capex; alternatively a concentrate is sold at 70-90% payability with treatment charges and lower recovery. Ask which route is assumed and whether an offtake or toll agreement exists. Double-refractory (carbonaceous and sulphide-locked) is worse still.</t>
        </is>
      </c>
      <c r="E205" s="19" t="inlineStr">
        <is>
          <t>Technical report item 13; diagnostic leach results.</t>
        </is>
      </c>
      <c r="F205" s="19" t="inlineStr">
        <is>
          <t>select</t>
        </is>
      </c>
      <c r="G205" s="18" t="inlineStr">
        <is>
          <t>R</t>
        </is>
      </c>
      <c r="H205" s="18" t="n">
        <v>1</v>
      </c>
      <c r="I205" s="19" t="inlineStr">
        <is>
          <t>Free-milling = good; refractory with no stated treatment route or offtake = red flag</t>
        </is>
      </c>
      <c r="J205" s="18" t="inlineStr">
        <is>
          <t>R</t>
        </is>
      </c>
      <c r="K205" s="20" t="n"/>
      <c r="L205" s="21" t="n"/>
      <c r="M205" s="20" t="n"/>
      <c r="N205" s="20" t="n"/>
      <c r="O205" s="2">
        <f>IF(G205="All",1,IFERROR(MATCH(G205,{"G","D","R","S"},0)+1,1))</f>
        <v/>
      </c>
      <c r="P205" s="2">
        <f>IF($B$12="","",IF(O205&lt;=$B$12,"yes","no"))</f>
        <v/>
      </c>
    </row>
    <row r="206" ht="85" customHeight="1">
      <c r="A206" s="18" t="inlineStr">
        <is>
          <t>MP-06</t>
        </is>
      </c>
      <c r="B206" s="18" t="inlineStr">
        <is>
          <t>MP</t>
        </is>
      </c>
      <c r="C206" s="19" t="inlineStr">
        <is>
          <t>Heap-leach suitability</t>
        </is>
      </c>
      <c r="D206" s="19" t="inlineStr">
        <is>
          <t>Heap leach suits low-grade oxide ore (0.3-1 g/t) with recoveries typically 55-80% and operating cost of roughly US$5-10/t; it requires column-leach, percolation and agglomeration tests and a clay-content check (MP-07); it is unsuitable for most sulphide ore. Cyanide use is restricted in a few jurisdictions (some Argentine provinces, Montana, Czech Republic, Hungary, Costa Rica), which applies equally to CIL; verify local law. It is not 'banned in many countries'.</t>
        </is>
      </c>
      <c r="E206" s="19" t="inlineStr">
        <is>
          <t>Technical report item 13; local mining and environmental law.</t>
        </is>
      </c>
      <c r="F206" s="19" t="inlineStr">
        <is>
          <t>Y/N</t>
        </is>
      </c>
      <c r="G206" s="18" t="inlineStr">
        <is>
          <t>S</t>
        </is>
      </c>
      <c r="H206" s="18" t="n">
        <v>2</v>
      </c>
      <c r="I206" s="19" t="inlineStr">
        <is>
          <t>Oxide, tested, legal = good</t>
        </is>
      </c>
      <c r="J206" s="18" t="inlineStr"/>
      <c r="K206" s="20" t="n"/>
      <c r="L206" s="21" t="n"/>
      <c r="M206" s="20" t="n"/>
      <c r="N206" s="20" t="n"/>
      <c r="O206" s="2">
        <f>IF(G206="All",1,IFERROR(MATCH(G206,{"G","D","R","S"},0)+1,1))</f>
        <v/>
      </c>
      <c r="P206" s="2">
        <f>IF($B$12="","",IF(O206&lt;=$B$12,"yes","no"))</f>
        <v/>
      </c>
    </row>
    <row r="207" ht="112" customHeight="1">
      <c r="A207" s="18" t="inlineStr">
        <is>
          <t>MP-07</t>
        </is>
      </c>
      <c r="B207" s="18" t="inlineStr">
        <is>
          <t>MP</t>
        </is>
      </c>
      <c r="C207" s="19" t="inlineStr">
        <is>
          <t>Clays, fines and preg-robbing (early warning)</t>
        </is>
      </c>
      <c r="D207" s="19" t="inlineStr">
        <is>
          <t>From the geology text at any stage: argillic or advanced argillic alteration, lithocap, saprolite or laterite profile, carbonaceous or graphitic host rocks = watch item (not a knock-out). Clays hurt every route: in heap leaching they block percolation and force agglomeration; in CIL they raise slurry viscosity, cut throughput and raise reagent use; in gravity circuits gold is lost to slimes; swelling smectite is worse than kaolinite. At met stage ask for clay content and type, slump or percolation tests, viscosity and settling tests, and a preg-robbing test. Tropical saprolite is soft and cheap to mine but a percolation risk.</t>
        </is>
      </c>
      <c r="E207" s="19" t="inlineStr">
        <is>
          <t>Technical report items 7 and 13.</t>
        </is>
      </c>
      <c r="F207" s="19" t="inlineStr">
        <is>
          <t>Y/N</t>
        </is>
      </c>
      <c r="G207" s="18" t="inlineStr">
        <is>
          <t>G</t>
        </is>
      </c>
      <c r="H207" s="18" t="n">
        <v>2</v>
      </c>
      <c r="I207" s="19" t="inlineStr">
        <is>
          <t>Absent, or tested and mitigated = good</t>
        </is>
      </c>
      <c r="J207" s="18" t="inlineStr"/>
      <c r="K207" s="20" t="n"/>
      <c r="L207" s="21" t="n"/>
      <c r="M207" s="20" t="n"/>
      <c r="N207" s="20" t="n"/>
      <c r="O207" s="2">
        <f>IF(G207="All",1,IFERROR(MATCH(G207,{"G","D","R","S"},0)+1,1))</f>
        <v/>
      </c>
      <c r="P207" s="2">
        <f>IF($B$12="","",IF(O207&lt;=$B$12,"yes","no"))</f>
        <v/>
      </c>
    </row>
    <row r="208" ht="125.5" customHeight="1">
      <c r="A208" s="18" t="inlineStr">
        <is>
          <t>MP-08</t>
        </is>
      </c>
      <c r="B208" s="18" t="inlineStr">
        <is>
          <t>MP</t>
        </is>
      </c>
      <c r="C208" s="19" t="inlineStr">
        <is>
          <t>Oxide cap, transition and sulphide domains</t>
        </is>
      </c>
      <c r="D208" s="19" t="inlineStr">
        <is>
          <t>Oxide ore is free-dig, soft and usually amenable to heap leach or CIL, but the weathered zone is depth-limited (typically 20-80 m; deeper in West Africa and Australia), so an oxide-only project caps size and oxide recovery says nothing about the sulphide below. Ask for the depth of oxidation from drill logs, measured oxide densities (R-09) and sulphide met work. Transition ore has the lowest recovery and highest reagent consumption: under 10-15 m vertical or under 10% of tonnes is acceptable, and the MRE must domain oxide, transition and fresh separately. Sulphide continuation at depth is size upside only if it is not refractory (MP-05). In VMS and base-metal systems gold is a by-product and the oxidised zone is small and metallurgically complex: treat as a negative until tested.</t>
        </is>
      </c>
      <c r="E208" s="19" t="inlineStr">
        <is>
          <t>Drill logs; technical report items 7, 13, 14.</t>
        </is>
      </c>
      <c r="F208" s="19" t="inlineStr">
        <is>
          <t>select</t>
        </is>
      </c>
      <c r="G208" s="18" t="inlineStr">
        <is>
          <t>D</t>
        </is>
      </c>
      <c r="H208" s="18" t="n">
        <v>2</v>
      </c>
      <c r="I208" s="19" t="inlineStr">
        <is>
          <t>Oxide cap plus tested sulphide = good; oxide-only = size-capped</t>
        </is>
      </c>
      <c r="J208" s="18" t="inlineStr"/>
      <c r="K208" s="20" t="n"/>
      <c r="L208" s="21" t="n"/>
      <c r="M208" s="20" t="n"/>
      <c r="N208" s="20" t="n"/>
      <c r="O208" s="2">
        <f>IF(G208="All",1,IFERROR(MATCH(G208,{"G","D","R","S"},0)+1,1))</f>
        <v/>
      </c>
      <c r="P208" s="2">
        <f>IF($B$12="","",IF(O208&lt;=$B$12,"yes","no"))</f>
        <v/>
      </c>
    </row>
    <row r="209" ht="98.5" customHeight="1">
      <c r="A209" s="18" t="inlineStr">
        <is>
          <t>MP-09</t>
        </is>
      </c>
      <c r="B209" s="18" t="inlineStr">
        <is>
          <t>MP</t>
        </is>
      </c>
      <c r="C209" s="19" t="inlineStr">
        <is>
          <t>Head grade and dilution</t>
        </is>
      </c>
      <c r="D209" s="19" t="inlineStr">
        <is>
          <t>Planned (internal) dilution = waste inside the designed mining shape; unplanned (external) = overbreak beyond it. Typical: open pit bulk 5-15%; underground longhole 10-20%; narrow vein at 1.2-1.5 m minimum mining width 30-50% or more. Check: study head grade should be about resource grade / (1 + dilution) if the diluting waste carries no grade (somewhat higher if it does); mined tonnes = resource tonnes x (1 - ore loss) x (1 + dilution), so ore loss removes ounces without changing grade. If head grade equals resource grade, no dilution was applied (red flag). Ask for mining recovery (ore loss) too.</t>
        </is>
      </c>
      <c r="E209" s="19" t="inlineStr">
        <is>
          <t>Technical report item 16.</t>
        </is>
      </c>
      <c r="F209" s="19" t="inlineStr">
        <is>
          <t>g/t</t>
        </is>
      </c>
      <c r="G209" s="18" t="inlineStr">
        <is>
          <t>S</t>
        </is>
      </c>
      <c r="H209" s="18" t="n">
        <v>2</v>
      </c>
      <c r="I209" s="19" t="inlineStr">
        <is>
          <t>Dilution and ore loss applied = good; none = red flag</t>
        </is>
      </c>
      <c r="J209" s="18" t="inlineStr">
        <is>
          <t>R</t>
        </is>
      </c>
      <c r="K209" s="20" t="n"/>
      <c r="L209" s="21" t="n"/>
      <c r="M209" s="20" t="n"/>
      <c r="N209" s="20" t="n"/>
      <c r="O209" s="2">
        <f>IF(G209="All",1,IFERROR(MATCH(G209,{"G","D","R","S"},0)+1,1))</f>
        <v/>
      </c>
      <c r="P209" s="2">
        <f>IF($B$12="","",IF(O209&lt;=$B$12,"yes","no"))</f>
        <v/>
      </c>
    </row>
    <row r="210" ht="112" customHeight="1">
      <c r="A210" s="18" t="inlineStr">
        <is>
          <t>MP-10</t>
        </is>
      </c>
      <c r="B210" s="18" t="inlineStr">
        <is>
          <t>MP</t>
        </is>
      </c>
      <c r="C210" s="19" t="inlineStr">
        <is>
          <t>Strip-ratio screen</t>
        </is>
      </c>
      <c r="D210" s="19" t="inlineStr">
        <is>
          <t>Life-of-mine strip ratio (t waste : t ore, including pre-strip). Conservative screen (author's rule): one unit of strip ratio per 0.5 g/t of diluted head grade (1.5 g/t can carry about 3:1), calibrated at roughly US$1,500-2,000/oz gold, US$3-4/t waste mining and US$18-25/t processing plus G&amp;A; the true break-even is non-linear and much higher at 1.5 g/t (Detour Lake runs about 3.5:1 at under 1 g/t). Formula: maximum SR ~ (grade x 0.032 x price x recovery - processing and G&amp;A cost per tonne) / waste cost per tonne; use a third of that as a comfort limit and the majors' reserve price, not spot. Compare year 1-3 strip with life-of-mine strip (MP-11). Use the Calculators sheet.</t>
        </is>
      </c>
      <c r="E210" s="19" t="inlineStr">
        <is>
          <t>Technical report item 16; Calculators sheet.</t>
        </is>
      </c>
      <c r="F210" s="19" t="inlineStr">
        <is>
          <t>t:t</t>
        </is>
      </c>
      <c r="G210" s="18" t="inlineStr">
        <is>
          <t>S</t>
        </is>
      </c>
      <c r="H210" s="18" t="n">
        <v>2</v>
      </c>
      <c r="I210" s="19" t="inlineStr">
        <is>
          <t>Lower is better; within the screen = good</t>
        </is>
      </c>
      <c r="J210" s="18" t="inlineStr"/>
      <c r="K210" s="20" t="n"/>
      <c r="L210" s="21" t="n"/>
      <c r="M210" s="20" t="n"/>
      <c r="N210" s="20" t="n"/>
      <c r="O210" s="2">
        <f>IF(G210="All",1,IFERROR(MATCH(G210,{"G","D","R","S"},0)+1,1))</f>
        <v/>
      </c>
      <c r="P210" s="2">
        <f>IF($B$12="","",IF(O210&lt;=$B$12,"yes","no"))</f>
        <v/>
      </c>
    </row>
    <row r="211" ht="112" customHeight="1">
      <c r="A211" s="18" t="inlineStr">
        <is>
          <t>MP-11</t>
        </is>
      </c>
      <c r="B211" s="18" t="inlineStr">
        <is>
          <t>MP</t>
        </is>
      </c>
      <c r="C211" s="19" t="inlineStr">
        <is>
          <t>Pit design and production profile</t>
        </is>
      </c>
      <c r="D211" s="19" t="inlineStr">
        <is>
          <t>One contiguous pit shell preferred (coherent orebody, one pre-strip, short hauls, one footprint); satellite pits are workable if within about 5 km of the plant and the main pit alone covers payback. Pushbacks within one shell are normal, and a starter pit on the oxide or high-grade core is good practice (payback under 3 years), not a short cut. Red flags: years 1-3 head grade or strip ratio more than 30% better than life-of-mine, or starter-pit grade above 1.5x life-of-mine grade; study IRR collapsing if the starter pit is delayed one year (ask for the sensitivity); later pushback strip or sustaining capital undisclosed or unfunded; headline AISC quoted for years 1-3 rather than life of mine.</t>
        </is>
      </c>
      <c r="E211" s="19" t="inlineStr">
        <is>
          <t>Technical report items 16 and 22.</t>
        </is>
      </c>
      <c r="F211" s="19" t="inlineStr">
        <is>
          <t>Y/N</t>
        </is>
      </c>
      <c r="G211" s="18" t="inlineStr">
        <is>
          <t>S</t>
        </is>
      </c>
      <c r="H211" s="18" t="n">
        <v>2</v>
      </c>
      <c r="I211" s="19" t="inlineStr">
        <is>
          <t>Balanced profile = good; front-loaded = red flag</t>
        </is>
      </c>
      <c r="J211" s="18" t="inlineStr">
        <is>
          <t>R</t>
        </is>
      </c>
      <c r="K211" s="20" t="n"/>
      <c r="L211" s="21" t="n"/>
      <c r="M211" s="20" t="n"/>
      <c r="N211" s="20" t="n"/>
      <c r="O211" s="2">
        <f>IF(G211="All",1,IFERROR(MATCH(G211,{"G","D","R","S"},0)+1,1))</f>
        <v/>
      </c>
      <c r="P211" s="2">
        <f>IF($B$12="","",IF(O211&lt;=$B$12,"yes","no"))</f>
        <v/>
      </c>
    </row>
    <row r="212" ht="112" customHeight="1">
      <c r="A212" s="18" t="inlineStr">
        <is>
          <t>MP-12</t>
        </is>
      </c>
      <c r="B212" s="18" t="inlineStr">
        <is>
          <t>MP</t>
        </is>
      </c>
      <c r="C212" s="19" t="inlineStr">
        <is>
          <t>Bulk sample</t>
        </is>
      </c>
      <c r="D212" s="19" t="inlineStr">
        <is>
          <t>Bulk samples are usually taken from the best-known, most accessible zone, so headline bulk-sample grades often overstate the deposit. Ask what % of the resource the sample represents, who chose the location, and how it reconciles to the block model (more than 20% above = red flag). Cautionary case: Pure Gold Mining (Madsen, Red Lake) reported a 2018 test-mining bulk sample well above the resource model, yet mined grade fell short of plan and the company entered CCAA creditor protection (Canadian insolvency process) in October 2022 (verify in its filings); reconciliation, not the headline, is what matters. A permit alone is neutral.</t>
        </is>
      </c>
      <c r="E212" s="19" t="inlineStr">
        <is>
          <t>News releases; technical report item 16.</t>
        </is>
      </c>
      <c r="F212" s="19" t="inlineStr">
        <is>
          <t>Y/N + t, g/t</t>
        </is>
      </c>
      <c r="G212" s="18" t="inlineStr">
        <is>
          <t>S</t>
        </is>
      </c>
      <c r="H212" s="18" t="n">
        <v>3</v>
      </c>
      <c r="I212" s="19" t="inlineStr">
        <is>
          <t>Reconciled to the model = good; &gt;20% above = red flag</t>
        </is>
      </c>
      <c r="J212" s="18" t="inlineStr">
        <is>
          <t>R</t>
        </is>
      </c>
      <c r="K212" s="20" t="n"/>
      <c r="L212" s="21" t="n"/>
      <c r="M212" s="20" t="n"/>
      <c r="N212" s="20" t="n"/>
      <c r="O212" s="2">
        <f>IF(G212="All",1,IFERROR(MATCH(G212,{"G","D","R","S"},0)+1,1))</f>
        <v/>
      </c>
      <c r="P212" s="2">
        <f>IF($B$12="","",IF(O212&lt;=$B$12,"yes","no"))</f>
        <v/>
      </c>
    </row>
    <row r="213" ht="58" customHeight="1">
      <c r="A213" s="18" t="inlineStr">
        <is>
          <t>MP-13</t>
        </is>
      </c>
      <c r="B213" s="18" t="inlineStr">
        <is>
          <t>MP</t>
        </is>
      </c>
      <c r="C213" s="19" t="inlineStr">
        <is>
          <t>Geotechnical data</t>
        </is>
      </c>
      <c r="D213" s="19" t="inlineStr">
        <is>
          <t>On exploration core: core recovery per interval (G-20), RQD, fracture frequency, oriented core (G-21), any broken, faulted or clay-gouge ground noted within the mineralised zone. Dedicated geotechnical drilling for pit walls and underground support belongs to PFS stage.</t>
        </is>
      </c>
      <c r="E213" s="19" t="inlineStr">
        <is>
          <t>Technical report items 10 and 16.</t>
        </is>
      </c>
      <c r="F213" s="19" t="inlineStr">
        <is>
          <t>Y/N</t>
        </is>
      </c>
      <c r="G213" s="18" t="inlineStr">
        <is>
          <t>D</t>
        </is>
      </c>
      <c r="H213" s="18" t="n">
        <v>3</v>
      </c>
      <c r="I213" s="19" t="inlineStr">
        <is>
          <t>Logged, competent ground = good</t>
        </is>
      </c>
      <c r="J213" s="18" t="inlineStr"/>
      <c r="K213" s="20" t="n"/>
      <c r="L213" s="21" t="n"/>
      <c r="M213" s="20" t="n"/>
      <c r="N213" s="20" t="n"/>
      <c r="O213" s="2">
        <f>IF(G213="All",1,IFERROR(MATCH(G213,{"G","D","R","S"},0)+1,1))</f>
        <v/>
      </c>
      <c r="P213" s="2">
        <f>IF($B$12="","",IF(O213&lt;=$B$12,"yes","no"))</f>
        <v/>
      </c>
    </row>
    <row r="214" ht="98.5" customHeight="1">
      <c r="A214" s="18" t="inlineStr">
        <is>
          <t>MP-14</t>
        </is>
      </c>
      <c r="B214" s="18" t="inlineStr">
        <is>
          <t>MP</t>
        </is>
      </c>
      <c r="C214" s="19" t="inlineStr">
        <is>
          <t>Inferred share of the mine plan and resource-to-mine-plan conversion</t>
        </is>
      </c>
      <c r="D214" s="19" t="inlineStr">
        <is>
          <t>From the study's mine plan by resource category: share of scheduled tonnes and ounces classified Inferred (NI 43-101 allows Inferred in a PEA only with a cautionary statement; JORC production targets likewise). Above 30-40% Inferred over the life of mine, or any Inferred in the first 3 years, = economics rest on unconfirmed material (red flag). Also record mine-plan ounces / resource ounces: below 60-70% means much of the headline resource is not economic at the study's price. A PFS or FS must run on reserves (Proven and Probable) only.</t>
        </is>
      </c>
      <c r="E214" s="19" t="inlineStr">
        <is>
          <t>Study or technical report item 16 (mine plan by category); item 15 (reserves) for PFS/FS; PEA cautionary statement.</t>
        </is>
      </c>
      <c r="F214" s="19" t="inlineStr">
        <is>
          <t>% Inferred; % converted</t>
        </is>
      </c>
      <c r="G214" s="18" t="inlineStr">
        <is>
          <t>S</t>
        </is>
      </c>
      <c r="H214" s="18" t="n">
        <v>2</v>
      </c>
      <c r="I214" s="19" t="inlineStr">
        <is>
          <t>Lower Inferred share is better; &gt;30-40% or Inferred in years 1-3 = red flag</t>
        </is>
      </c>
      <c r="J214" s="18" t="inlineStr">
        <is>
          <t>R</t>
        </is>
      </c>
      <c r="K214" s="20" t="n"/>
      <c r="L214" s="21" t="n"/>
      <c r="M214" s="20" t="n"/>
      <c r="N214" s="20" t="n"/>
      <c r="O214" s="2">
        <f>IF(G214="All",1,IFERROR(MATCH(G214,{"G","D","R","S"},0)+1,1))</f>
        <v/>
      </c>
      <c r="P214" s="2">
        <f>IF($B$12="","",IF(O214&lt;=$B$12,"yes","no"))</f>
        <v/>
      </c>
    </row>
    <row r="215" ht="31" customHeight="1">
      <c r="A215" s="14" t="inlineStr">
        <is>
          <t>X</t>
        </is>
      </c>
      <c r="B215" s="15" t="inlineStr">
        <is>
          <t>X</t>
        </is>
      </c>
      <c r="C215" s="14" t="inlineStr">
        <is>
          <t>DEVELOPMENT ECONOMICS &amp; EXIT PATH</t>
        </is>
      </c>
      <c r="D215" s="16" t="inlineStr">
        <is>
          <t>What a buyer looks for, and whether one exists. Stage S for X-01 to X-06; the exit rows apply from discovery.</t>
        </is>
      </c>
      <c r="E215" s="17" t="n"/>
      <c r="F215" s="17" t="n"/>
      <c r="G215" s="17" t="n"/>
      <c r="H215" s="17" t="n"/>
      <c r="I215" s="17" t="n"/>
      <c r="J215" s="17" t="n"/>
      <c r="K215" s="17" t="n"/>
      <c r="L215" s="17" t="n"/>
      <c r="M215" s="17" t="n"/>
      <c r="N215" s="17" t="n"/>
      <c r="O215" s="17" t="n"/>
      <c r="P215" s="17" t="n"/>
    </row>
    <row r="216" ht="85" customHeight="1">
      <c r="A216" s="18" t="inlineStr">
        <is>
          <t>X-01</t>
        </is>
      </c>
      <c r="B216" s="18" t="inlineStr">
        <is>
          <t>X</t>
        </is>
      </c>
      <c r="C216" s="19" t="inlineStr">
        <is>
          <t>Price deck used for economics</t>
        </is>
      </c>
      <c r="D216" s="19" t="inlineStr">
        <is>
          <t>Base case = the majors' reserve price (see the price deck in the header: Barrick and Newmont reserve prices at year-end 2025, to be updated annually with a 'last checked' date); sensitivity = 3-year trailing average; spot for information only. State which case each row below uses. A study run at spot, or above the 3-year average, is aggressive; every ounce, IRR and NPV must be on an attributable basis (J-05) after royalties (A-04, J-04).</t>
        </is>
      </c>
      <c r="E216" s="19" t="inlineStr">
        <is>
          <t>Header price deck; study sensitivity table.</t>
        </is>
      </c>
      <c r="F216" s="19" t="inlineStr">
        <is>
          <t>$/oz</t>
        </is>
      </c>
      <c r="G216" s="18" t="inlineStr">
        <is>
          <t>S</t>
        </is>
      </c>
      <c r="H216" s="18" t="n">
        <v>1</v>
      </c>
      <c r="I216" s="19" t="inlineStr">
        <is>
          <t>Reserve-price base case = good; spot-based study = red flag</t>
        </is>
      </c>
      <c r="J216" s="18" t="inlineStr">
        <is>
          <t>R</t>
        </is>
      </c>
      <c r="K216" s="20" t="n"/>
      <c r="L216" s="21" t="n"/>
      <c r="M216" s="20" t="n"/>
      <c r="N216" s="20" t="n"/>
      <c r="O216" s="2">
        <f>IF(G216="All",1,IFERROR(MATCH(G216,{"G","D","R","S"},0)+1,1))</f>
        <v/>
      </c>
      <c r="P216" s="2">
        <f>IF($B$12="","",IF(O216&lt;=$B$12,"yes","no"))</f>
        <v/>
      </c>
    </row>
    <row r="217" ht="85" customHeight="1">
      <c r="A217" s="18" t="inlineStr">
        <is>
          <t>X-02</t>
        </is>
      </c>
      <c r="B217" s="18" t="inlineStr">
        <is>
          <t>X</t>
        </is>
      </c>
      <c r="C217" s="19" t="inlineStr">
        <is>
          <t>Acquirer thresholds (mid-tier bar; majors' tier-one bar is above 500 koz p.a.)</t>
        </is>
      </c>
      <c r="D217" s="19" t="inlineStr">
        <is>
          <t>Resource of at least 3 Moz M&amp;I (Inferred stated separately) at 1.0 g/t or better for open pit or 4 g/t for underground, reported at a cut-off derived from at most the majors' resource price; production above 150 koz p.a.; mine life above 10 years on reserves (a PEA life of mine including Inferred does not count). Use these to judge whether the target could ever become a takeover candidate, not as tests an explorer can pass today; compare with the size of the prize (V-01).</t>
        </is>
      </c>
      <c r="E217" s="19" t="inlineStr">
        <is>
          <t>Technical reports; acquirer criteria (e.g. Newmont's published tier-one definition).</t>
        </is>
      </c>
      <c r="F217" s="19" t="inlineStr">
        <is>
          <t>Moz, koz, years</t>
        </is>
      </c>
      <c r="G217" s="18" t="inlineStr">
        <is>
          <t>R</t>
        </is>
      </c>
      <c r="H217" s="18" t="n">
        <v>2</v>
      </c>
      <c r="I217" s="19" t="inlineStr">
        <is>
          <t>Info: the end-game target</t>
        </is>
      </c>
      <c r="J217" s="18" t="inlineStr"/>
      <c r="K217" s="20" t="n"/>
      <c r="L217" s="21" t="n"/>
      <c r="M217" s="20" t="n"/>
      <c r="N217" s="20" t="n"/>
      <c r="O217" s="2">
        <f>IF(G217="All",1,IFERROR(MATCH(G217,{"G","D","R","S"},0)+1,1))</f>
        <v/>
      </c>
      <c r="P217" s="2">
        <f>IF($B$12="","",IF(O217&lt;=$B$12,"yes","no"))</f>
        <v/>
      </c>
    </row>
    <row r="218" ht="71.5" customHeight="1">
      <c r="A218" s="18" t="inlineStr">
        <is>
          <t>X-03</t>
        </is>
      </c>
      <c r="B218" s="18" t="inlineStr">
        <is>
          <t>X</t>
        </is>
      </c>
      <c r="C218" s="19" t="inlineStr">
        <is>
          <t>IRR, NPV and payback</t>
        </is>
      </c>
      <c r="D218" s="19" t="inlineStr">
        <is>
          <t>After-tax IRR above 25% at a gold price no higher than the 3-year trailing average, and still above 10-15% at the majors' reserve price; payback under 3-4 years; after-tax NPV at 5% / initial capex above 1.0-1.5 at the base case. Always read the sensitivity table, not the headline. State pre- or after-tax, price deck, study level (PEA versus FS) and whether free carry and royalties are included.</t>
        </is>
      </c>
      <c r="E218" s="19" t="inlineStr">
        <is>
          <t>Study economics section; sensitivity table.</t>
        </is>
      </c>
      <c r="F218" s="19" t="inlineStr">
        <is>
          <t>%, x, years</t>
        </is>
      </c>
      <c r="G218" s="18" t="inlineStr">
        <is>
          <t>S</t>
        </is>
      </c>
      <c r="H218" s="18" t="n">
        <v>1</v>
      </c>
      <c r="I218" s="19" t="inlineStr">
        <is>
          <t>Higher is better; see thresholds</t>
        </is>
      </c>
      <c r="J218" s="18" t="inlineStr"/>
      <c r="K218" s="20" t="n"/>
      <c r="L218" s="21" t="n"/>
      <c r="M218" s="20" t="n"/>
      <c r="N218" s="20" t="n"/>
      <c r="O218" s="2">
        <f>IF(G218="All",1,IFERROR(MATCH(G218,{"G","D","R","S"},0)+1,1))</f>
        <v/>
      </c>
      <c r="P218" s="2">
        <f>IF($B$12="","",IF(O218&lt;=$B$12,"yes","no"))</f>
        <v/>
      </c>
    </row>
    <row r="219" ht="85" customHeight="1">
      <c r="A219" s="18" t="inlineStr">
        <is>
          <t>X-04</t>
        </is>
      </c>
      <c r="B219" s="18" t="inlineStr">
        <is>
          <t>X</t>
        </is>
      </c>
      <c r="C219" s="19" t="inlineStr">
        <is>
          <t>All-in sustaining cost (lower is better)</t>
        </is>
      </c>
      <c r="D219" s="19" t="inlineStr">
        <is>
          <t>Life-of-mine AISC from the PEA or PFS: below US$1,200/oz preferred, US$1,500/oz maximum (lower half of the global cost curve; the World Gold Council industry average is in the price deck, about US$1,785/oz in Q1 2026, verify), and AISC at or below 50-60% of the base-case gold price (X-01; at the majors' reserve prices of US$1,500-2,000 that is about US$750-1,200, i.e. a margin above 40%). Above US$1,500 = marginal at the majors' reserve price. Price-linked: re-base with the deck. Not applicable before a PEA.</t>
        </is>
      </c>
      <c r="E219" s="19" t="inlineStr">
        <is>
          <t>Study cost section; header price deck; Calculators sheet.</t>
        </is>
      </c>
      <c r="F219" s="19" t="inlineStr">
        <is>
          <t>$/oz</t>
        </is>
      </c>
      <c r="G219" s="18" t="inlineStr">
        <is>
          <t>S</t>
        </is>
      </c>
      <c r="H219" s="18" t="n">
        <v>1</v>
      </c>
      <c r="I219" s="19" t="inlineStr">
        <is>
          <t>Lower is better; &lt;60% of base-case price = good</t>
        </is>
      </c>
      <c r="J219" s="18" t="inlineStr"/>
      <c r="K219" s="20" t="n"/>
      <c r="L219" s="21" t="n"/>
      <c r="M219" s="20" t="n"/>
      <c r="N219" s="20" t="n"/>
      <c r="O219" s="2">
        <f>IF(G219="All",1,IFERROR(MATCH(G219,{"G","D","R","S"},0)+1,1))</f>
        <v/>
      </c>
      <c r="P219" s="2">
        <f>IF($B$12="","",IF(O219&lt;=$B$12,"yes","no"))</f>
        <v/>
      </c>
    </row>
    <row r="220" ht="71.5" customHeight="1">
      <c r="A220" s="18" t="inlineStr">
        <is>
          <t>X-05</t>
        </is>
      </c>
      <c r="B220" s="18" t="inlineStr">
        <is>
          <t>X</t>
        </is>
      </c>
      <c r="C220" s="19" t="inlineStr">
        <is>
          <t>Capital intensity (lower is better)</t>
        </is>
      </c>
      <c r="D220" s="19" t="inlineStr">
        <is>
          <t>Initial capex / average annual production (oz). Below US$2,500 per annual ounce attractive (open pit plus CIL at 150 koz p.a. or more); US$2,500-4,000 typical (under 3,500 for underground or refractory); above US$4,000 = red flag unless very high grade or long life. Post-2022 cost inflation applies; cross-check with payback and NPV/capex (X-03), which are less sensitive to inflation. The metric ignores grade and mine life.</t>
        </is>
      </c>
      <c r="E220" s="19" t="inlineStr">
        <is>
          <t>Study capital section.</t>
        </is>
      </c>
      <c r="F220" s="19" t="inlineStr">
        <is>
          <t>$/oz p.a.</t>
        </is>
      </c>
      <c r="G220" s="18" t="inlineStr">
        <is>
          <t>S</t>
        </is>
      </c>
      <c r="H220" s="18" t="n">
        <v>2</v>
      </c>
      <c r="I220" s="19" t="inlineStr">
        <is>
          <t>Lower is better; &gt;4,000 = red flag</t>
        </is>
      </c>
      <c r="J220" s="18" t="inlineStr">
        <is>
          <t>R</t>
        </is>
      </c>
      <c r="K220" s="20" t="n"/>
      <c r="L220" s="21" t="n"/>
      <c r="M220" s="20" t="n"/>
      <c r="N220" s="20" t="n"/>
      <c r="O220" s="2">
        <f>IF(G220="All",1,IFERROR(MATCH(G220,{"G","D","R","S"},0)+1,1))</f>
        <v/>
      </c>
      <c r="P220" s="2">
        <f>IF($B$12="","",IF(O220&lt;=$B$12,"yes","no"))</f>
        <v/>
      </c>
    </row>
    <row r="221" ht="71.5" customHeight="1">
      <c r="A221" s="18" t="inlineStr">
        <is>
          <t>X-06</t>
        </is>
      </c>
      <c r="B221" s="18" t="inlineStr">
        <is>
          <t>X</t>
        </is>
      </c>
      <c r="C221" s="19" t="inlineStr">
        <is>
          <t>Project finance feasibility</t>
        </is>
      </c>
      <c r="D221" s="19" t="inlineStr">
        <is>
          <t>Is the equity valuation high enough to raise the equity share of initial capex (rule of thumb 30-50%, the rest debt) without crippling dilution? Is royalty or stream capacity still unencumbered after existing private royalties (A-04) and the government royalty stack (J-04)? Are the economics robust at the reserve price (X-03)? Is there a strategic or offtake partner (P-19)?</t>
        </is>
      </c>
      <c r="E221" s="19" t="inlineStr">
        <is>
          <t>Study; A-04; X-03.</t>
        </is>
      </c>
      <c r="F221" s="19" t="inlineStr">
        <is>
          <t>Y/N</t>
        </is>
      </c>
      <c r="G221" s="18" t="inlineStr">
        <is>
          <t>S</t>
        </is>
      </c>
      <c r="H221" s="18" t="n">
        <v>3</v>
      </c>
      <c r="I221" s="19" t="inlineStr">
        <is>
          <t>Y = good</t>
        </is>
      </c>
      <c r="J221" s="18" t="inlineStr"/>
      <c r="K221" s="20" t="n"/>
      <c r="L221" s="21" t="n"/>
      <c r="M221" s="20" t="n"/>
      <c r="N221" s="20" t="n"/>
      <c r="O221" s="2">
        <f>IF(G221="All",1,IFERROR(MATCH(G221,{"G","D","R","S"},0)+1,1))</f>
        <v/>
      </c>
      <c r="P221" s="2">
        <f>IF($B$12="","",IF(O221&lt;=$B$12,"yes","no"))</f>
        <v/>
      </c>
    </row>
    <row r="222" ht="58" customHeight="1">
      <c r="A222" s="18" t="inlineStr">
        <is>
          <t>X-07</t>
        </is>
      </c>
      <c r="B222" s="18" t="inlineStr">
        <is>
          <t>X</t>
        </is>
      </c>
      <c r="C222" s="19" t="inlineStr">
        <is>
          <t>Logical acquirers</t>
        </is>
      </c>
      <c r="D222" s="19" t="inlineStr">
        <is>
          <t>Name three companies with a mill or mine within 50-100 km (trucking distance = synergy = most likely buyer) or actively exploring the belt. Has a major staked or optioned neighbouring ground? Has a major actually bought a deposit of this type and size in this belt in the last 5 years?</t>
        </is>
      </c>
      <c r="E222" s="19" t="inlineStr">
        <is>
          <t>Government claim maps; peer news releases; M&amp;A databases.</t>
        </is>
      </c>
      <c r="F222" s="19" t="inlineStr">
        <is>
          <t>names</t>
        </is>
      </c>
      <c r="G222" s="18" t="inlineStr">
        <is>
          <t>D</t>
        </is>
      </c>
      <c r="H222" s="18" t="n">
        <v>2</v>
      </c>
      <c r="I222" s="19" t="inlineStr">
        <is>
          <t>Named acquirers with synergy = good</t>
        </is>
      </c>
      <c r="J222" s="18" t="inlineStr"/>
      <c r="K222" s="20" t="n"/>
      <c r="L222" s="21" t="n"/>
      <c r="M222" s="20" t="n"/>
      <c r="N222" s="20" t="n"/>
      <c r="O222" s="2">
        <f>IF(G222="All",1,IFERROR(MATCH(G222,{"G","D","R","S"},0)+1,1))</f>
        <v/>
      </c>
      <c r="P222" s="2">
        <f>IF($B$12="","",IF(O222&lt;=$B$12,"yes","no"))</f>
        <v/>
      </c>
    </row>
    <row r="223" ht="58" customHeight="1">
      <c r="A223" s="18" t="inlineStr">
        <is>
          <t>X-08</t>
        </is>
      </c>
      <c r="B223" s="18" t="inlineStr">
        <is>
          <t>X</t>
        </is>
      </c>
      <c r="C223" s="19" t="inlineStr">
        <is>
          <t>Precedent transactions in the belt</t>
        </is>
      </c>
      <c r="D223" s="19" t="inlineStr">
        <is>
          <t>Price paid per ounce and stage at acquisition for transactions in the belt over the last 5 years; apply to the size of the prize (V-01, V-04).</t>
        </is>
      </c>
      <c r="E223" s="19" t="inlineStr">
        <is>
          <t>Kitco; S&amp;P Capital IQ (paid); acquisition news releases of buyer and target on SEDAR+ or the ASX platform; Mining.com deal coverage.</t>
        </is>
      </c>
      <c r="F223" s="19" t="inlineStr">
        <is>
          <t>$/oz</t>
        </is>
      </c>
      <c r="G223" s="18" t="inlineStr">
        <is>
          <t>D</t>
        </is>
      </c>
      <c r="H223" s="18" t="n">
        <v>2</v>
      </c>
      <c r="I223" s="19" t="inlineStr">
        <is>
          <t>Info; feeds V-04</t>
        </is>
      </c>
      <c r="J223" s="18" t="inlineStr"/>
      <c r="K223" s="20" t="n"/>
      <c r="L223" s="21" t="n"/>
      <c r="M223" s="20" t="n"/>
      <c r="N223" s="20" t="n"/>
      <c r="O223" s="2">
        <f>IF(G223="All",1,IFERROR(MATCH(G223,{"G","D","R","S"},0)+1,1))</f>
        <v/>
      </c>
      <c r="P223" s="2">
        <f>IF($B$12="","",IF(O223&lt;=$B$12,"yes","no"))</f>
        <v/>
      </c>
    </row>
    <row r="224" ht="44.5" customHeight="1">
      <c r="A224" s="18" t="inlineStr">
        <is>
          <t>X-09</t>
        </is>
      </c>
      <c r="B224" s="18" t="inlineStr">
        <is>
          <t>X</t>
        </is>
      </c>
      <c r="C224" s="19" t="inlineStr">
        <is>
          <t>Strategic-shareholder rights and change-of-control payments</t>
        </is>
      </c>
      <c r="D224" s="19" t="inlineStr">
        <is>
          <t>Right of first refusal, standstill, board seat, anti-dilution or offtake held by a strategic shareholder (P-19) deter competing bidders. Change-of-control payments to management in the information circular: more than 2x salary each = a deal tax.</t>
        </is>
      </c>
      <c r="E224" s="19" t="inlineStr">
        <is>
          <t>Investor-rights agreement on SEDAR+; management information circular.</t>
        </is>
      </c>
      <c r="F224" s="19" t="inlineStr">
        <is>
          <t>Y/N, m$</t>
        </is>
      </c>
      <c r="G224" s="18" t="inlineStr">
        <is>
          <t>D</t>
        </is>
      </c>
      <c r="H224" s="18" t="n">
        <v>3</v>
      </c>
      <c r="I224" s="19" t="inlineStr">
        <is>
          <t>No deterrents = good</t>
        </is>
      </c>
      <c r="J224" s="18" t="inlineStr"/>
      <c r="K224" s="20" t="n"/>
      <c r="L224" s="21" t="n"/>
      <c r="M224" s="20" t="n"/>
      <c r="N224" s="20" t="n"/>
      <c r="O224" s="2">
        <f>IF(G224="All",1,IFERROR(MATCH(G224,{"G","D","R","S"},0)+1,1))</f>
        <v/>
      </c>
      <c r="P224" s="2">
        <f>IF($B$12="","",IF(O224&lt;=$B$12,"yes","no"))</f>
        <v/>
      </c>
    </row>
    <row r="225" ht="44.5" customHeight="1">
      <c r="A225" s="14" t="inlineStr">
        <is>
          <t>V</t>
        </is>
      </c>
      <c r="B225" s="15" t="inlineStr">
        <is>
          <t>V</t>
        </is>
      </c>
      <c r="C225" s="14" t="inlineStr">
        <is>
          <t>INVESTMENT THESIS (EXPECTED VALUE)</t>
        </is>
      </c>
      <c r="D225" s="16" t="inlineStr">
        <is>
          <t>Closing the loop: is the prize big enough, what does the test cost, what are the odds, and how much is already priced in. Framework after Exploration Insights (Brent Cook / Joe Mazumdar). All stages.</t>
        </is>
      </c>
      <c r="E225" s="17" t="n"/>
      <c r="F225" s="17" t="n"/>
      <c r="G225" s="17" t="n"/>
      <c r="H225" s="17" t="n"/>
      <c r="I225" s="17" t="n"/>
      <c r="J225" s="17" t="n"/>
      <c r="K225" s="17" t="n"/>
      <c r="L225" s="17" t="n"/>
      <c r="M225" s="17" t="n"/>
      <c r="N225" s="17" t="n"/>
      <c r="O225" s="17" t="n"/>
      <c r="P225" s="17" t="n"/>
    </row>
    <row r="226" ht="152.5" customHeight="1">
      <c r="A226" s="18" t="inlineStr">
        <is>
          <t>V-01</t>
        </is>
      </c>
      <c r="B226" s="18" t="inlineStr">
        <is>
          <t>V</t>
        </is>
      </c>
      <c r="C226" s="19" t="inlineStr">
        <is>
          <t>Size of the prize</t>
        </is>
      </c>
      <c r="D226" s="19" t="inlineStr">
        <is>
          <t>Tonnes = strike (m, D-07) x down-dip extent (m, D-08; use 300 m if untested) x true width (m, D-03; averaged over the mineralised holes, not the best hole) x density (t/m3: 2.7 fresh rock, 2.2 oxide or saprolite, R-09). Ounces = tonnes x grade (g/t, D-05; the average of the mineralised intercepts, not the best hole) / 31.1035. Multiply by 0.2 / 0.5 / 0.8 for low, mid and high case; the factor is your confidence that mineralisation is continuous between holes. Worked example: 1,000 m x 8 m x 300 m x 2.7 = 6.5 Mt x 1.5 g/t = 9.7 million grams / 31.1 = 312 koz; mid case 156 koz. Ladder: a mid case below 0.5 Moz rarely matters to anyone but the company; 0.5-1 Moz = stand-alone underground minimum at high grade (R-17); 1.5-2 Moz = heap-leach open-pit minimum; above 3 Moz M&amp;I = M&amp;A-relevant (X-02). If a published Exploration Target exists, use its range. Use the Calculators sheet.</t>
        </is>
      </c>
      <c r="E226" s="19" t="inlineStr">
        <is>
          <t>D-03, D-05, D-07, D-08, R-09; Calculators sheet.</t>
        </is>
      </c>
      <c r="F226" s="19" t="inlineStr">
        <is>
          <t>Moz (low / mid / high)</t>
        </is>
      </c>
      <c r="G226" s="18" t="inlineStr">
        <is>
          <t>D</t>
        </is>
      </c>
      <c r="H226" s="18" t="n">
        <v>2</v>
      </c>
      <c r="I226" s="19" t="inlineStr">
        <is>
          <t>Mid case clears the ladder step for the mining method = good</t>
        </is>
      </c>
      <c r="J226" s="18" t="inlineStr"/>
      <c r="K226" s="20" t="n"/>
      <c r="L226" s="21" t="n"/>
      <c r="M226" s="20" t="n"/>
      <c r="N226" s="20" t="n"/>
      <c r="O226" s="2">
        <f>IF(G226="All",1,IFERROR(MATCH(G226,{"G","D","R","S"},0)+1,1))</f>
        <v/>
      </c>
      <c r="P226" s="2">
        <f>IF($B$12="","",IF(O226&lt;=$B$12,"yes","no"))</f>
        <v/>
      </c>
    </row>
    <row r="227" ht="71.5" customHeight="1">
      <c r="A227" s="18" t="inlineStr">
        <is>
          <t>V-02</t>
        </is>
      </c>
      <c r="B227" s="18" t="inlineStr">
        <is>
          <t>V</t>
        </is>
      </c>
      <c r="C227" s="19" t="inlineStr">
        <is>
          <t>Cost of the test</t>
        </is>
      </c>
      <c r="D227" s="19" t="inlineStr">
        <is>
          <t>Carry over E-03: the full programme budget to reach a go/no-go decision, compared with working capital (F-01) and the financing calendar (F-07). Add the price of that money: if the test must be financed at today's price, existing holders give away roughly cost / (market cap + cost) of the company before results (K-03), which lowers the per-share payoff in V-04.</t>
        </is>
      </c>
      <c r="E227" s="19" t="inlineStr">
        <is>
          <t>E-03.</t>
        </is>
      </c>
      <c r="F227" s="19" t="inlineStr">
        <is>
          <t>m$</t>
        </is>
      </c>
      <c r="G227" s="18" t="inlineStr">
        <is>
          <t>G</t>
        </is>
      </c>
      <c r="H227" s="18" t="n">
        <v>2</v>
      </c>
      <c r="I227" s="19" t="inlineStr">
        <is>
          <t>Funded = good</t>
        </is>
      </c>
      <c r="J227" s="18" t="inlineStr"/>
      <c r="K227" s="20" t="n"/>
      <c r="L227" s="21" t="n"/>
      <c r="M227" s="20" t="n"/>
      <c r="N227" s="20" t="n"/>
      <c r="O227" s="2">
        <f>IF(G227="All",1,IFERROR(MATCH(G227,{"G","D","R","S"},0)+1,1))</f>
        <v/>
      </c>
      <c r="P227" s="2">
        <f>IF($B$12="","",IF(O227&lt;=$B$12,"yes","no"))</f>
        <v/>
      </c>
    </row>
    <row r="228" ht="112" customHeight="1">
      <c r="A228" s="18" t="inlineStr">
        <is>
          <t>V-03</t>
        </is>
      </c>
      <c r="B228" s="18" t="inlineStr">
        <is>
          <t>V</t>
        </is>
      </c>
      <c r="C228" s="19" t="inlineStr">
        <is>
          <t>Chance of success</t>
        </is>
      </c>
      <c r="D228" s="19" t="inlineStr">
        <is>
          <t>Probability that the target reaches the mid-case resource of V-01 (the success case valued in V-04). Stage ladder (rough, author's calibration): untested geochemical or geophysical target 1-5%; anomalous drill intercepts (GT 20-50) 10-20%; discovery hole of 50 GT or more with follow-up 30-50%; defined resource above 50% (still uncertain: conversion, metallurgy and permitting remain). Adjust for the team's discovery record (P-01), whether this exact target was drilled before and why it failed (S-05, G-14), and the number of campaigns to date (D-12). Grassroots prospects become mines on the order of one in a thousand; drilled targets with intercepts fare far better.</t>
        </is>
      </c>
      <c r="E228" s="19" t="inlineStr">
        <is>
          <t>P-01; S-05; G-14; D-12; D-02.</t>
        </is>
      </c>
      <c r="F228" s="19" t="inlineStr">
        <is>
          <t>%</t>
        </is>
      </c>
      <c r="G228" s="18" t="inlineStr">
        <is>
          <t>G</t>
        </is>
      </c>
      <c r="H228" s="18" t="n">
        <v>2</v>
      </c>
      <c r="I228" s="19" t="inlineStr">
        <is>
          <t>Info; feeds V-04</t>
        </is>
      </c>
      <c r="J228" s="18" t="inlineStr"/>
      <c r="K228" s="20" t="n"/>
      <c r="L228" s="21" t="n"/>
      <c r="M228" s="20" t="n"/>
      <c r="N228" s="20" t="n"/>
      <c r="O228" s="2">
        <f>IF(G228="All",1,IFERROR(MATCH(G228,{"G","D","R","S"},0)+1,1))</f>
        <v/>
      </c>
      <c r="P228" s="2">
        <f>IF($B$12="","",IF(O228&lt;=$B$12,"yes","no"))</f>
        <v/>
      </c>
    </row>
    <row r="229" ht="112" customHeight="1">
      <c r="A229" s="18" t="inlineStr">
        <is>
          <t>V-04</t>
        </is>
      </c>
      <c r="B229" s="18" t="inlineStr">
        <is>
          <t>V</t>
        </is>
      </c>
      <c r="C229" s="19" t="inlineStr">
        <is>
          <t>Expected value versus market enterprise value</t>
        </is>
      </c>
      <c r="D229" s="19" t="inlineStr">
        <is>
          <t>Expected value of the test = probability (V-03) x success-case value (mid-case ounces (V-01) x precedent $/oz in the belt (X-08) or peer EV/oz (K-04), on an attributable basis (J-05)) minus the cost of the test (V-02). Compare with the current enterprise value (K-02): if EV is already 50% or more of the success-case value, the upside is priced in, so wait for a pullback or the next financing. Look for asymmetry of 5:1 or better, computed as success-case value / (current EV + cost of the test, V-02): adding the cost to EV approximates the per-share payoff after the dilution needed to fund the test, so unfunded stories do not look cheapest. Use the Calculators sheet.</t>
        </is>
      </c>
      <c r="E229" s="19" t="inlineStr">
        <is>
          <t>V-01 to V-03; K-02; X-08 or K-04.</t>
        </is>
      </c>
      <c r="F229" s="19" t="inlineStr">
        <is>
          <t>x</t>
        </is>
      </c>
      <c r="G229" s="18" t="inlineStr">
        <is>
          <t>D</t>
        </is>
      </c>
      <c r="H229" s="18" t="n">
        <v>2</v>
      </c>
      <c r="I229" s="19" t="inlineStr">
        <is>
          <t>Asymmetry &gt;=5:1 = good; EV &gt;=50% of success case = wait</t>
        </is>
      </c>
      <c r="J229" s="18" t="inlineStr"/>
      <c r="K229" s="20" t="n"/>
      <c r="L229" s="21" t="n"/>
      <c r="M229" s="20" t="n"/>
      <c r="N229" s="20" t="n"/>
      <c r="O229" s="2">
        <f>IF(G229="All",1,IFERROR(MATCH(G229,{"G","D","R","S"},0)+1,1))</f>
        <v/>
      </c>
      <c r="P229" s="2">
        <f>IF($B$12="","",IF(O229&lt;=$B$12,"yes","no"))</f>
        <v/>
      </c>
    </row>
  </sheetData>
  <autoFilter ref="A14:P229"/>
  <mergeCells count="9">
    <mergeCell ref="B6:C6"/>
    <mergeCell ref="B7:C7"/>
    <mergeCell ref="B11:C11"/>
    <mergeCell ref="B5:C5"/>
    <mergeCell ref="B10:C10"/>
    <mergeCell ref="H5:I5"/>
    <mergeCell ref="H6:N6"/>
    <mergeCell ref="B9:C9"/>
    <mergeCell ref="B8:C8"/>
  </mergeCells>
  <conditionalFormatting sqref="L15:L229">
    <cfRule type="cellIs" priority="1" operator="equal" dxfId="1">
      <formula>"Green"</formula>
    </cfRule>
    <cfRule type="cellIs" priority="2" operator="equal" dxfId="2">
      <formula>"Amber"</formula>
    </cfRule>
    <cfRule type="cellIs" priority="3" operator="equal" dxfId="3">
      <formula>"Red"</formula>
    </cfRule>
  </conditionalFormatting>
  <conditionalFormatting sqref="A15:N229">
    <cfRule type="expression" priority="4" dxfId="4">
      <formula>$P15="no"</formula>
    </cfRule>
  </conditionalFormatting>
  <conditionalFormatting sqref="J15:J229">
    <cfRule type="cellIs" priority="5" operator="equal" dxfId="0">
      <formula>"H"</formula>
    </cfRule>
  </conditionalFormatting>
  <dataValidations count="2">
    <dataValidation sqref="B8" showDropDown="0" showInputMessage="0" showErrorMessage="0" allowBlank="1" type="list">
      <formula1>"G,D,R,S"</formula1>
    </dataValidation>
    <dataValidation sqref="L16 L17 L18 L19 L20 L21 L22 L23 L24 L25 L26 L28 L29 L30 L31 L32 L33 L34 L35 L36 L37 L38 L39 L40 L41 L42 L43 L44 L45 L46 L47 L48 L50 L51 L52 L53 L54 L55 L56 L57 L58 L59 L60 L61 L62 L63 L65 L66 L67 L68 L69 L70 L71 L73 L74 L75 L76 L77 L78 L80 L81 L82 L83 L84 L85 L86 L87 L88 L90 L91 L92 L93 L94 L95 L96 L98 L99 L100 L101 L102 L103 L104 L105 L106 L107 L108 L109 L110 L111 L112 L113 L114 L115 L117 L118 L119 L120 L121 L122 L123 L124 L125 L126 L127 L128 L129 L130 L131 L132 L134 L135 L136 L137 L138 L139 L140 L141 L142 L143 L144 L145 L146 L147 L148 L149 L150 L151 L152 L153 L154 L155 L157 L158 L159 L160 L161 L162 L163 L164 L165 L166 L167 L168 L169 L170 L171 L172 L174 L175 L176 L177 L178 L179 L180 L182 L183 L184 L185 L186 L187 L188 L189 L190 L191 L192 L193 L194 L195 L196 L197 L198 L199 L201 L202 L203 L204 L205 L206 L207 L208 L209 L210 L211 L212 L213 L214 L216 L217 L218 L219 L220 L221 L222 L223 L224 L226 L227 L228 L229" showDropDown="0" showInputMessage="0" showErrorMessage="0" allowBlank="1" type="list">
      <formula1>"Green,Amber,Red,N/A"</formula1>
    </dataValidation>
  </dataValidations>
  <pageMargins left="0.75" right="0.75" top="1" bottom="1" header="0.5" footer="0.5"/>
</worksheet>
</file>

<file path=xl/worksheets/sheet4.xml><?xml version="1.0" encoding="utf-8"?>
<worksheet xmlns="http://schemas.openxmlformats.org/spreadsheetml/2006/main">
  <sheetPr>
    <tabColor rgb="001F4E5A"/>
    <outlinePr summaryBelow="1" summaryRight="1"/>
    <pageSetUpPr/>
  </sheetPr>
  <dimension ref="A1:H34"/>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4" customWidth="1" min="1" max="1"/>
    <col width="12" customWidth="1" min="2" max="2"/>
    <col width="52" customWidth="1" min="3" max="3"/>
    <col width="52" customWidth="1" min="4" max="4"/>
    <col width="40" customWidth="1" min="5" max="5"/>
    <col width="18" customWidth="1" min="6" max="6"/>
    <col width="10" customWidth="1" min="7" max="7"/>
    <col width="5" customWidth="1" min="8" max="8"/>
  </cols>
  <sheetData>
    <row r="1">
      <c r="A1" s="1" t="inlineStr">
        <is>
          <t>Quick screen: 28 public-source checks, 60-90 minutes</t>
        </is>
      </c>
    </row>
    <row r="2">
      <c r="A2" s="2" t="inlineStr">
        <is>
          <t>Answer every row before reading any geology. Any hard stop (KO = H with a Red result), or three or more counted reds (KO = R), ends the analysis. Row references point to the full guidance on 'DD Questionnaire'.</t>
        </is>
      </c>
    </row>
    <row r="3"/>
    <row r="4">
      <c r="A4" s="3" t="inlineStr">
        <is>
          <t>Hard stops triggered</t>
        </is>
      </c>
      <c r="C4" s="3">
        <f>COUNTIFS($H$7:$H$34,"H",$G$7:$G$34,"Red")</f>
        <v/>
      </c>
      <c r="D4" s="3" t="inlineStr">
        <is>
          <t>Verdict</t>
        </is>
      </c>
      <c r="E4" s="3">
        <f>IF($C$4&gt;0,"STOP: hard stop triggered",IF($C$5&gt;=3,"STOP: three or more red flags",IF(COUNTA($G$7:$G$34)=0,"Not started",IF(COUNTA($G$7:$G$34)&lt;28,"Incomplete","Proceed to the full questionnaire"))))</f>
        <v/>
      </c>
    </row>
    <row r="5">
      <c r="A5" s="3" t="inlineStr">
        <is>
          <t>Red flags counted (KO = R)</t>
        </is>
      </c>
      <c r="C5" s="3">
        <f>COUNTIFS($H$7:$H$34,"R",$G$7:$G$34,"Red")</f>
        <v/>
      </c>
    </row>
    <row r="6">
      <c r="A6" s="13" t="inlineStr">
        <is>
          <t>#</t>
        </is>
      </c>
      <c r="B6" s="13" t="inlineStr">
        <is>
          <t>Rows</t>
        </is>
      </c>
      <c r="C6" s="13" t="inlineStr">
        <is>
          <t>Question</t>
        </is>
      </c>
      <c r="D6" s="13" t="inlineStr">
        <is>
          <t>Pass rule / red rule</t>
        </is>
      </c>
      <c r="E6" s="13" t="inlineStr">
        <is>
          <t>Where to look</t>
        </is>
      </c>
      <c r="F6" s="13" t="inlineStr">
        <is>
          <t>Answer</t>
        </is>
      </c>
      <c r="G6" s="13" t="inlineStr">
        <is>
          <t>Result</t>
        </is>
      </c>
      <c r="H6" s="13" t="inlineStr">
        <is>
          <t>KO</t>
        </is>
      </c>
    </row>
    <row r="7" ht="71.5" customHeight="1">
      <c r="A7" s="18" t="n">
        <v>1</v>
      </c>
      <c r="B7" s="18" t="inlineStr">
        <is>
          <t>J-01, P-05</t>
        </is>
      </c>
      <c r="C7" s="19" t="inlineStr">
        <is>
          <t>Jurisdiction of the flagship project: Fraser Policy Perception Index quartile of the state/province or country; in an 'exotic' jurisdiction, is there an in-country subsidiary and a named local manager?</t>
        </is>
      </c>
      <c r="D7" s="19" t="inlineStr">
        <is>
          <t>Green: top quartile. Amber: 2nd/3rd quartile. Red: bottom quartile or not surveyed (unless a local team is proven, P-05). Red = hard stop: exotic jurisdiction (J-01 definition) with neither an in-country subsidiary nor a named local manager (P-05).</t>
        </is>
      </c>
      <c r="E7" s="19" t="inlineStr">
        <is>
          <t>Fraser Institute Annual Survey of Mining Companies, PPI table (free); financial statements subsidiaries note; website team page.</t>
        </is>
      </c>
      <c r="F7" s="20" t="n"/>
      <c r="G7" s="21" t="n"/>
      <c r="H7" s="18" t="inlineStr">
        <is>
          <t>H</t>
        </is>
      </c>
    </row>
    <row r="8" ht="58" customHeight="1">
      <c r="A8" s="18" t="n">
        <v>2</v>
      </c>
      <c r="B8" s="18" t="inlineStr">
        <is>
          <t>J-02, J-06</t>
        </is>
      </c>
      <c r="C8" s="19" t="inlineStr">
        <is>
          <t>Country events and site security: coup, moratorium, export ban, revocation of an active licence in 24 months; full travel warning for the region, or an incident at a mine within 200 km in the last 12 months</t>
        </is>
      </c>
      <c r="D8" s="19" t="inlineStr">
        <is>
          <t>Red = hard stop if any applies. Amber: election within 12 months, partial warning, or an incident within 3 years.</t>
        </is>
      </c>
      <c r="E8" s="19" t="inlineStr">
        <is>
          <t>AIF / MD&amp;A risk factors; Reuters / Mining.com search; Auswärtiges Amt, FCDO, travel.gc.ca; ACLED.</t>
        </is>
      </c>
      <c r="F8" s="20" t="n"/>
      <c r="G8" s="21" t="n"/>
      <c r="H8" s="18" t="inlineStr">
        <is>
          <t>H</t>
        </is>
      </c>
    </row>
    <row r="9" ht="31" customHeight="1">
      <c r="A9" s="18" t="n">
        <v>3</v>
      </c>
      <c r="B9" s="18" t="inlineStr">
        <is>
          <t>C-02, C-03</t>
        </is>
      </c>
      <c r="C9" s="19" t="inlineStr">
        <is>
          <t>Name changes and unrelated commodity or business pivots in 10 years</t>
        </is>
      </c>
      <c r="D9" s="19" t="inlineStr">
        <is>
          <t>Green: 0-1 name change, no pivot. Red: &gt;2 name changes or &gt;1 unrelated pivot.</t>
        </is>
      </c>
      <c r="E9" s="19" t="inlineStr">
        <is>
          <t>SEDAR+ issuer profile (former names); AIF history.</t>
        </is>
      </c>
      <c r="F9" s="20" t="n"/>
      <c r="G9" s="21" t="n"/>
      <c r="H9" s="18" t="inlineStr">
        <is>
          <t>R</t>
        </is>
      </c>
    </row>
    <row r="10" ht="44.5" customHeight="1">
      <c r="A10" s="18" t="n">
        <v>4</v>
      </c>
      <c r="B10" s="18" t="inlineStr">
        <is>
          <t>C-06</t>
        </is>
      </c>
      <c r="C10" s="19" t="inlineStr">
        <is>
          <t>Primary exchange and where the volume trades</t>
        </is>
      </c>
      <c r="D10" s="19" t="inlineStr">
        <is>
          <t>Green: TSX-V/TSX/ASX/AIM with most volume at home. Amber: CSE-only, or most volume on Frankfurt/OTC (red if combined with a paid campaign, M-02).</t>
        </is>
      </c>
      <c r="E10" s="19" t="inlineStr">
        <is>
          <t>Exchange websites; volume by venue (K-06).</t>
        </is>
      </c>
      <c r="F10" s="20" t="n"/>
      <c r="G10" s="21" t="n"/>
      <c r="H10" s="18" t="inlineStr"/>
    </row>
    <row r="11" ht="44.5" customHeight="1">
      <c r="A11" s="18" t="n">
        <v>5</v>
      </c>
      <c r="B11" s="18" t="inlineStr">
        <is>
          <t>C-09</t>
        </is>
      </c>
      <c r="C11" s="19" t="inlineStr">
        <is>
          <t>Regulatory history of the issuer and key insiders (cease-trade orders, sanctions, promoter settlements)</t>
        </is>
      </c>
      <c r="D11" s="19" t="inlineStr">
        <is>
          <t>Green: nothing found. Red = hard stop: any enforcement CTO, sanction or settlement.</t>
        </is>
      </c>
      <c r="E11" s="19" t="inlineStr">
        <is>
          <t>CSA cease-trade-order database and Disciplined List; SEC litigation releases; ASIC; FCA; Google.</t>
        </is>
      </c>
      <c r="F11" s="20" t="n"/>
      <c r="G11" s="21" t="n"/>
      <c r="H11" s="18" t="inlineStr">
        <is>
          <t>H</t>
        </is>
      </c>
    </row>
    <row r="12" ht="44.5" customHeight="1">
      <c r="A12" s="18" t="n">
        <v>6</v>
      </c>
      <c r="B12" s="18" t="inlineStr">
        <is>
          <t>P-01</t>
        </is>
      </c>
      <c r="C12" s="19" t="inlineStr">
        <is>
          <t>CEO and VP Exploration track record</t>
        </is>
      </c>
      <c r="D12" s="19" t="inlineStr">
        <is>
          <t>Green: at least one sale or discovery that paid outside shareholders. Red: 3+ prior shells with no exit.</t>
        </is>
      </c>
      <c r="E12" s="19" t="inlineStr">
        <is>
          <t>MIC and website bios; AIF directors table; Stockwatch (paid); SEDAR+ full-text search.</t>
        </is>
      </c>
      <c r="F12" s="20" t="n"/>
      <c r="G12" s="21" t="n"/>
      <c r="H12" s="18" t="inlineStr">
        <is>
          <t>R</t>
        </is>
      </c>
    </row>
    <row r="13" ht="31" customHeight="1">
      <c r="A13" s="18" t="n">
        <v>7</v>
      </c>
      <c r="B13" s="18" t="inlineStr">
        <is>
          <t>K-01, K-02</t>
        </is>
      </c>
      <c r="C13" s="19" t="inlineStr">
        <is>
          <t>Shares outstanding basic / fully diluted, market cap and enterprise value</t>
        </is>
      </c>
      <c r="D13" s="19" t="inlineStr">
        <is>
          <t>Green: FD/basic &lt;1.2. Amber: 1.2-1.4. Red: &gt;1.4.</t>
        </is>
      </c>
      <c r="E13" s="19" t="inlineStr">
        <is>
          <t>MD&amp;A 'Outstanding share data'; latest balance sheet.</t>
        </is>
      </c>
      <c r="F13" s="20" t="n"/>
      <c r="G13" s="21" t="n"/>
      <c r="H13" s="18" t="inlineStr">
        <is>
          <t>R</t>
        </is>
      </c>
    </row>
    <row r="14" ht="31" customHeight="1">
      <c r="A14" s="18" t="n">
        <v>8</v>
      </c>
      <c r="B14" s="18" t="inlineStr">
        <is>
          <t>F-01, F-03</t>
        </is>
      </c>
      <c r="C14" s="19" t="inlineStr">
        <is>
          <t>Working capital (dated) and cash runway in months</t>
        </is>
      </c>
      <c r="D14" s="19" t="inlineStr">
        <is>
          <t>Green: &gt;12 months. Amber: 6-12. Red: &lt;6 months (financing imminent).</t>
        </is>
      </c>
      <c r="E14" s="19" t="inlineStr">
        <is>
          <t>Latest MD&amp;A liquidity section; Calculators sheet.</t>
        </is>
      </c>
      <c r="F14" s="20" t="n"/>
      <c r="G14" s="21" t="n"/>
      <c r="H14" s="18" t="inlineStr">
        <is>
          <t>R</t>
        </is>
      </c>
    </row>
    <row r="15" ht="44.5" customHeight="1">
      <c r="A15" s="18" t="n">
        <v>9</v>
      </c>
      <c r="B15" s="18" t="inlineStr">
        <is>
          <t>F-07</t>
        </is>
      </c>
      <c r="C15" s="19" t="inlineStr">
        <is>
          <t>Is the current programme fully funded from working capital?</t>
        </is>
      </c>
      <c r="D15" s="19" t="inlineStr">
        <is>
          <t>Green: working capital (F-01) &gt;= 1.5x programme budget + 12 months G&amp;A. Red = hard stop: programme depends on a financing that has not closed.</t>
        </is>
      </c>
      <c r="E15" s="19" t="inlineStr">
        <is>
          <t>Programme news release (budget); latest MD&amp;A liquidity section (F-01); Calculators block 6.</t>
        </is>
      </c>
      <c r="F15" s="20" t="n"/>
      <c r="G15" s="21" t="n"/>
      <c r="H15" s="18" t="inlineStr">
        <is>
          <t>H</t>
        </is>
      </c>
    </row>
    <row r="16" ht="31" customHeight="1">
      <c r="A16" s="18" t="n">
        <v>10</v>
      </c>
      <c r="B16" s="18" t="inlineStr">
        <is>
          <t>K-08</t>
        </is>
      </c>
      <c r="C16" s="19" t="inlineStr">
        <is>
          <t>Warrant and option overhang as % of basic shares</t>
        </is>
      </c>
      <c r="D16" s="19" t="inlineStr">
        <is>
          <t>Green: &lt;20%. Amber: 20-40%. Red: &gt;40%.</t>
        </is>
      </c>
      <c r="E16" s="19" t="inlineStr">
        <is>
          <t>MD&amp;A 'Outstanding share data'; FS warrant note.</t>
        </is>
      </c>
      <c r="F16" s="20" t="n"/>
      <c r="G16" s="21" t="n"/>
      <c r="H16" s="18" t="inlineStr">
        <is>
          <t>R</t>
        </is>
      </c>
    </row>
    <row r="17" ht="31" customHeight="1">
      <c r="A17" s="18" t="n">
        <v>11</v>
      </c>
      <c r="B17" s="18" t="inlineStr">
        <is>
          <t>F-04</t>
        </is>
      </c>
      <c r="C17" s="19" t="inlineStr">
        <is>
          <t>Exploration share of spend over the last 4 quarters</t>
        </is>
      </c>
      <c r="D17" s="19" t="inlineStr">
        <is>
          <t>Green: above the scaled target (60/70/80% by size). Red: below it.</t>
        </is>
      </c>
      <c r="E17" s="19" t="inlineStr">
        <is>
          <t>FS E&amp;E note; statement of cash flows.</t>
        </is>
      </c>
      <c r="F17" s="20" t="n"/>
      <c r="G17" s="21" t="n"/>
      <c r="H17" s="18" t="inlineStr">
        <is>
          <t>R</t>
        </is>
      </c>
    </row>
    <row r="18" ht="31" customHeight="1">
      <c r="A18" s="18" t="n">
        <v>12</v>
      </c>
      <c r="B18" s="18" t="inlineStr">
        <is>
          <t>P-12</t>
        </is>
      </c>
      <c r="C18" s="19" t="inlineStr">
        <is>
          <t>Related-party billings as % of G&amp;A (services from insider-owned companies)</t>
        </is>
      </c>
      <c r="D18" s="19" t="inlineStr">
        <is>
          <t>Green: &lt;5%. Amber: 5-15%. Red: &gt;15-20%.</t>
        </is>
      </c>
      <c r="E18" s="19" t="inlineStr">
        <is>
          <t>FS 'Related party transactions' note.</t>
        </is>
      </c>
      <c r="F18" s="20" t="n"/>
      <c r="G18" s="21" t="n"/>
      <c r="H18" s="18" t="inlineStr">
        <is>
          <t>R</t>
        </is>
      </c>
    </row>
    <row r="19" ht="44.5" customHeight="1">
      <c r="A19" s="18" t="n">
        <v>13</v>
      </c>
      <c r="B19" s="18" t="inlineStr">
        <is>
          <t>P-06</t>
        </is>
      </c>
      <c r="C19" s="19" t="inlineStr">
        <is>
          <t>Insider ownership, % of basic shares</t>
        </is>
      </c>
      <c r="D19" s="19" t="inlineStr">
        <is>
          <t>Green: 10-30%. Amber: 5-10%, 30-50%, or &gt;50% (control and liquidity concern unless the holder is a strategic partner). Red: &lt;5%.</t>
        </is>
      </c>
      <c r="E19" s="19" t="inlineStr">
        <is>
          <t>MIC principal holders; SEDI.</t>
        </is>
      </c>
      <c r="F19" s="20" t="n"/>
      <c r="G19" s="21" t="n"/>
      <c r="H19" s="18" t="inlineStr">
        <is>
          <t>R</t>
        </is>
      </c>
    </row>
    <row r="20" ht="31" customHeight="1">
      <c r="A20" s="18" t="n">
        <v>14</v>
      </c>
      <c r="B20" s="18" t="inlineStr">
        <is>
          <t>P-10</t>
        </is>
      </c>
      <c r="C20" s="19" t="inlineStr">
        <is>
          <t>Insider buying and selling in the last 12 months</t>
        </is>
      </c>
      <c r="D20" s="19" t="inlineStr">
        <is>
          <t>Green: net open-market buying. Amber: none. Red: net selling or selling around financings.</t>
        </is>
      </c>
      <c r="E20" s="19" t="inlineStr">
        <is>
          <t>SEDI (sedi.ca); CEO.ca Insiders tab; ASX 3Y; AIM RNS.</t>
        </is>
      </c>
      <c r="F20" s="20" t="n"/>
      <c r="G20" s="21" t="n"/>
      <c r="H20" s="18" t="inlineStr">
        <is>
          <t>R</t>
        </is>
      </c>
    </row>
    <row r="21" ht="31" customHeight="1">
      <c r="A21" s="18" t="n">
        <v>15</v>
      </c>
      <c r="B21" s="18" t="inlineStr">
        <is>
          <t>K-11</t>
        </is>
      </c>
      <c r="C21" s="19" t="inlineStr">
        <is>
          <t>Strong-hands test: volume and price after the last three hold-period expiries</t>
        </is>
      </c>
      <c r="D21" s="19" t="inlineStr">
        <is>
          <t>Green: flat. Red: volume &gt;3x and price down &gt;15% after expiry (flippers).</t>
        </is>
      </c>
      <c r="E21" s="19" t="inlineStr">
        <is>
          <t>Placement dates + 4 months + 1 day; price/volume chart.</t>
        </is>
      </c>
      <c r="F21" s="20" t="n"/>
      <c r="G21" s="21" t="n"/>
      <c r="H21" s="18" t="inlineStr">
        <is>
          <t>R</t>
        </is>
      </c>
    </row>
    <row r="22" ht="44.5" customHeight="1">
      <c r="A22" s="18" t="n">
        <v>16</v>
      </c>
      <c r="B22" s="18" t="inlineStr">
        <is>
          <t>A-01, A-02</t>
        </is>
      </c>
      <c r="C22" s="19" t="inlineStr">
        <is>
          <t>Ownership of the flagship project and vendor payments due in 12 months</t>
        </is>
      </c>
      <c r="D22" s="19" t="inlineStr">
        <is>
          <t>Green: 100% held in a company subsidiary, no payments due. Amber: earn-in on track. Red: transfer pending or payments &gt;25% of cash.</t>
        </is>
      </c>
      <c r="E22" s="19" t="inlineStr">
        <is>
          <t>Technical report item 4; option agreement; commitments note.</t>
        </is>
      </c>
      <c r="F22" s="20" t="n"/>
      <c r="G22" s="21" t="n"/>
      <c r="H22" s="18" t="inlineStr">
        <is>
          <t>R</t>
        </is>
      </c>
    </row>
    <row r="23" ht="44.5" customHeight="1">
      <c r="A23" s="18" t="n">
        <v>17</v>
      </c>
      <c r="B23" s="18" t="inlineStr">
        <is>
          <t>A-04</t>
        </is>
      </c>
      <c r="C23" s="19" t="inlineStr">
        <is>
          <t>Third-party royalties and streams (excluding government)</t>
        </is>
      </c>
      <c r="D23" s="19" t="inlineStr">
        <is>
          <t>Green: &lt;=3% NSR with buy-back. Amber: 3-5%, or any stream. Red: &gt;5% (an insider-held royalty is scored in P-11).</t>
        </is>
      </c>
      <c r="E23" s="19" t="inlineStr">
        <is>
          <t>Technical report item 4; royalty agreements; royalty companies' asset lists.</t>
        </is>
      </c>
      <c r="F23" s="20" t="n"/>
      <c r="G23" s="21" t="n"/>
      <c r="H23" s="18" t="inlineStr">
        <is>
          <t>R</t>
        </is>
      </c>
    </row>
    <row r="24" ht="44.5" customHeight="1">
      <c r="A24" s="18" t="n">
        <v>18</v>
      </c>
      <c r="B24" s="18" t="inlineStr">
        <is>
          <t>M-06</t>
        </is>
      </c>
      <c r="C24" s="19" t="inlineStr">
        <is>
          <t>Corporate presentation: age and share of commodity or macro slides</t>
        </is>
      </c>
      <c r="D24" s="19" t="inlineStr">
        <is>
          <t>Green: &lt;=3 months old, project-focused. Red: commodity slides outnumber project slides, &gt;3 macro slides in a deck under 25 slides, or &gt;40% of the deck.</t>
        </is>
      </c>
      <c r="E24" s="19" t="inlineStr">
        <is>
          <t>Company website.</t>
        </is>
      </c>
      <c r="F24" s="20" t="n"/>
      <c r="G24" s="21" t="n"/>
      <c r="H24" s="18" t="inlineStr">
        <is>
          <t>R</t>
        </is>
      </c>
    </row>
    <row r="25" ht="31" customHeight="1">
      <c r="A25" s="18" t="n">
        <v>19</v>
      </c>
      <c r="B25" s="18" t="inlineStr">
        <is>
          <t>M-02</t>
        </is>
      </c>
      <c r="C25" s="19" t="inlineStr">
        <is>
          <t>Paid promotion active? (disclaimers, IR contracts, BaFin/BCSC alerts, Frankfurt volume)</t>
        </is>
      </c>
      <c r="D25" s="19" t="inlineStr">
        <is>
          <t>Green: none found. Red: any paid campaign, or you met the stock via undisclosed promotion.</t>
        </is>
      </c>
      <c r="E25" s="19" t="inlineStr">
        <is>
          <t>Web search; newsletter and video disclaimers; BaFin, BCSC, ASC alerts.</t>
        </is>
      </c>
      <c r="F25" s="20" t="n"/>
      <c r="G25" s="21" t="n"/>
      <c r="H25" s="18" t="inlineStr">
        <is>
          <t>R</t>
        </is>
      </c>
    </row>
    <row r="26" ht="44.5" customHeight="1">
      <c r="A26" s="18" t="n">
        <v>20</v>
      </c>
      <c r="B26" s="18" t="inlineStr">
        <is>
          <t>S-01</t>
        </is>
      </c>
      <c r="C26" s="19" t="inlineStr">
        <is>
          <t>Can you locate the project on Google Earth from the corporate deck (or technical report item 4 / the cadastre)?</t>
        </is>
      </c>
      <c r="D26" s="19" t="inlineStr">
        <is>
          <t>Green: yes, from the deck. Amber: only via the technical report or cadastre. Red: cannot locate.</t>
        </is>
      </c>
      <c r="E26" s="19" t="inlineStr">
        <is>
          <t>Google Earth; corporate deck; technical report item 4; government cadastre.</t>
        </is>
      </c>
      <c r="F26" s="20" t="n"/>
      <c r="G26" s="21" t="n"/>
      <c r="H26" s="18" t="inlineStr">
        <is>
          <t>R</t>
        </is>
      </c>
    </row>
    <row r="27" ht="44.5" customHeight="1">
      <c r="A27" s="18" t="n">
        <v>21</v>
      </c>
      <c r="B27" s="18" t="inlineStr">
        <is>
          <t>T-01, T-06</t>
        </is>
      </c>
      <c r="C27" s="19" t="inlineStr">
        <is>
          <t>Tenure granted (not an application) and drill permit in hand</t>
        </is>
      </c>
      <c r="D27" s="19" t="inlineStr">
        <is>
          <t>Green: both. Amber: permit submitted with a date. Red: application-only tenure, or 'permit expected' repeated over 2+ quarters.</t>
        </is>
      </c>
      <c r="E27" s="19" t="inlineStr">
        <is>
          <t>Government cadastre; permit news releases.</t>
        </is>
      </c>
      <c r="F27" s="20" t="n"/>
      <c r="G27" s="21" t="n"/>
      <c r="H27" s="18" t="inlineStr">
        <is>
          <t>R</t>
        </is>
      </c>
    </row>
    <row r="28" ht="58" customHeight="1">
      <c r="A28" s="18" t="n">
        <v>22</v>
      </c>
      <c r="B28" s="18" t="inlineStr">
        <is>
          <t>T-10, T-11</t>
        </is>
      </c>
      <c r="C28" s="19" t="inlineStr">
        <is>
          <t>Indigenous or community situation</t>
        </is>
      </c>
      <c r="D28" s="19" t="inlineStr">
        <is>
          <t>Green: signed agreement, no opposition. Amber: engagement started. Red: blockade, injunction or opposition vote in 5 years; nothing signed where consultation is required.</t>
        </is>
      </c>
      <c r="E28" s="19" t="inlineStr">
        <is>
          <t>native-land.ca; news releases; EJAtlas; BHRRC; local press.</t>
        </is>
      </c>
      <c r="F28" s="20" t="n"/>
      <c r="G28" s="21" t="n"/>
      <c r="H28" s="18" t="inlineStr">
        <is>
          <t>R</t>
        </is>
      </c>
    </row>
    <row r="29" ht="31" customHeight="1">
      <c r="A29" s="18" t="n">
        <v>23</v>
      </c>
      <c r="B29" s="18" t="inlineStr">
        <is>
          <t>G-01</t>
        </is>
      </c>
      <c r="C29" s="19" t="inlineStr">
        <is>
          <t>Deposit type named and consistent with reported pathfinders and alteration</t>
        </is>
      </c>
      <c r="D29" s="19" t="inlineStr">
        <is>
          <t>Green: named and consistent. Red: inconsistent or model-shopping.</t>
        </is>
      </c>
      <c r="E29" s="19" t="inlineStr">
        <is>
          <t>Technical report items 7-8; technical deck.</t>
        </is>
      </c>
      <c r="F29" s="20" t="n"/>
      <c r="G29" s="21" t="n"/>
      <c r="H29" s="18" t="inlineStr">
        <is>
          <t>R</t>
        </is>
      </c>
    </row>
    <row r="30" ht="31" customHeight="1">
      <c r="A30" s="18" t="n">
        <v>24</v>
      </c>
      <c r="B30" s="18" t="inlineStr">
        <is>
          <t>G-13</t>
        </is>
      </c>
      <c r="C30" s="19" t="inlineStr">
        <is>
          <t>Are all historical holes, including poor ones, shown on current maps?</t>
        </is>
      </c>
      <c r="D30" s="19" t="inlineStr">
        <is>
          <t>Green: yes. Red = hard stop: poor historical holes omitted.</t>
        </is>
      </c>
      <c r="E30" s="19" t="inlineStr">
        <is>
          <t>Technical report item 6 collar table; assessment files; deck maps.</t>
        </is>
      </c>
      <c r="F30" s="20" t="n"/>
      <c r="G30" s="21" t="n"/>
      <c r="H30" s="18" t="inlineStr">
        <is>
          <t>H</t>
        </is>
      </c>
    </row>
    <row r="31" ht="44.5" customHeight="1">
      <c r="A31" s="18" t="n">
        <v>25</v>
      </c>
      <c r="B31" s="18" t="inlineStr">
        <is>
          <t>G-15</t>
        </is>
      </c>
      <c r="C31" s="19" t="inlineStr">
        <is>
          <t>Current technical report with an independent QP, and a QP named on drill releases</t>
        </is>
      </c>
      <c r="D31" s="19" t="inlineStr">
        <is>
          <t>Green: current (&lt;3 years), independent, site visit. Amber: none yet (pre-drilling). Red: stale report relied on for headline ounces.</t>
        </is>
      </c>
      <c r="E31" s="19" t="inlineStr">
        <is>
          <t>SEDAR+ technical report; drill-release footnotes.</t>
        </is>
      </c>
      <c r="F31" s="20" t="n"/>
      <c r="G31" s="21" t="n"/>
      <c r="H31" s="18" t="inlineStr">
        <is>
          <t>R</t>
        </is>
      </c>
    </row>
    <row r="32" ht="58" customHeight="1">
      <c r="A32" s="18" t="n">
        <v>26</v>
      </c>
      <c r="B32" s="18" t="inlineStr">
        <is>
          <t>D-02, D-03</t>
        </is>
      </c>
      <c r="C32" s="19" t="inlineStr">
        <is>
          <t>Best drill hole: grade x true width (GT) and true width</t>
        </is>
      </c>
      <c r="D32" s="19" t="inlineStr">
        <is>
          <t>Green: &gt;=50 GT over &gt;=5 m true width (&gt;=134 over &gt;=10 m = tier-one class). Amber: 20-50 GT, or no hole &gt;=20 GT yet. Red: none here (the campaign count is scored in the next item).</t>
        </is>
      </c>
      <c r="E32" s="19" t="inlineStr">
        <is>
          <t>Drill news releases; Calculators sheet block 1.</t>
        </is>
      </c>
      <c r="F32" s="20" t="n"/>
      <c r="G32" s="21" t="n"/>
      <c r="H32" s="18" t="inlineStr"/>
    </row>
    <row r="33" ht="31" customHeight="1">
      <c r="A33" s="18" t="n">
        <v>27</v>
      </c>
      <c r="B33" s="18" t="inlineStr">
        <is>
          <t>D-12, D-13</t>
        </is>
      </c>
      <c r="C33" s="19" t="inlineStr">
        <is>
          <t>Campaigns drilled and metres without a &gt;=50 GT hole</t>
        </is>
      </c>
      <c r="D33" s="19" t="inlineStr">
        <is>
          <t>Green: hit inside 3 campaigns / &lt;10,000 m. Red: 4th campaign without a new geological idea.</t>
        </is>
      </c>
      <c r="E33" s="19" t="inlineStr">
        <is>
          <t>Technical report item 6; news releases.</t>
        </is>
      </c>
      <c r="F33" s="20" t="n"/>
      <c r="G33" s="21" t="n"/>
      <c r="H33" s="18" t="inlineStr">
        <is>
          <t>R</t>
        </is>
      </c>
    </row>
    <row r="34" ht="31" customHeight="1">
      <c r="A34" s="18" t="n">
        <v>28</v>
      </c>
      <c r="B34" s="18" t="inlineStr">
        <is>
          <t>K-06</t>
        </is>
      </c>
      <c r="C34" s="19" t="inlineStr">
        <is>
          <t>Liquidity: 3-month average daily traded value on the home exchange, and free float</t>
        </is>
      </c>
      <c r="D34" s="19" t="inlineStr">
        <is>
          <t>Green: &gt;C$100k/day. Amber: C$25-100k. Red: &lt;C$25k/day, free float &lt;30%, or spread &gt;5%.</t>
        </is>
      </c>
      <c r="E34" s="19" t="inlineStr">
        <is>
          <t>Home-exchange quote page or Stockwatch; MIC principal holders.</t>
        </is>
      </c>
      <c r="F34" s="20" t="n"/>
      <c r="G34" s="21" t="n"/>
      <c r="H34" s="18" t="inlineStr">
        <is>
          <t>R</t>
        </is>
      </c>
    </row>
  </sheetData>
  <conditionalFormatting sqref="G7:G34">
    <cfRule type="cellIs" priority="1" operator="equal" dxfId="5">
      <formula>"Green"</formula>
    </cfRule>
    <cfRule type="cellIs" priority="2" operator="equal" dxfId="6">
      <formula>"Amber"</formula>
    </cfRule>
    <cfRule type="cellIs" priority="3" operator="equal" dxfId="7">
      <formula>"Red"</formula>
    </cfRule>
  </conditionalFormatting>
  <dataValidations count="1">
    <dataValidation sqref="G7 G8 G9 G10 G11 G12 G13 G14 G15 G16 G17 G18 G19 G20 G21 G22 G23 G24 G25 G26 G27 G28 G29 G30 G31 G32 G33 G34" showDropDown="0" showInputMessage="0" showErrorMessage="0" allowBlank="1" type="list">
      <formula1>"Green,Amber,Red,N/A"</formula1>
    </dataValidation>
  </dataValidations>
  <pageMargins left="0.75" right="0.75" top="1" bottom="1" header="0.5" footer="0.5"/>
</worksheet>
</file>

<file path=xl/worksheets/sheet5.xml><?xml version="1.0" encoding="utf-8"?>
<worksheet xmlns="http://schemas.openxmlformats.org/spreadsheetml/2006/main">
  <sheetPr>
    <tabColor rgb="009FB8C0"/>
    <outlinePr summaryBelow="1" summaryRight="1"/>
    <pageSetUpPr/>
  </sheetPr>
  <dimension ref="A1:D139"/>
  <sheetViews>
    <sheetView showGridLines="0" workbookViewId="0">
      <selection activeCell="A1" sqref="A1"/>
    </sheetView>
  </sheetViews>
  <sheetFormatPr baseColWidth="8" defaultRowHeight="15"/>
  <cols>
    <col width="50" customWidth="1" min="1" max="1"/>
    <col width="16" customWidth="1" min="2" max="2"/>
    <col width="12" customWidth="1" min="3" max="3"/>
    <col width="80" customWidth="1" min="4" max="4"/>
  </cols>
  <sheetData>
    <row r="1">
      <c r="A1" s="1" t="inlineStr">
        <is>
          <t>Calculators</t>
        </is>
      </c>
    </row>
    <row r="2">
      <c r="A2" s="2" t="inlineStr">
        <is>
          <t>Enter inputs in the yellow cells with blue text (example values shown); black cells are formulas. Row references point to 'DD Questionnaire'. Price cells default to the price deck on that sheet.</t>
        </is>
      </c>
    </row>
    <row r="3"/>
    <row r="4">
      <c r="A4" s="5" t="inlineStr">
        <is>
          <t>1. Grade x thickness (GT) and true width (D-02, D-03)</t>
        </is>
      </c>
    </row>
    <row r="5" ht="17.5" customHeight="1">
      <c r="A5" s="6" t="inlineStr">
        <is>
          <t>Intercept grade (g/t Au)</t>
        </is>
      </c>
      <c r="B5" s="22" t="n">
        <v>2.4</v>
      </c>
      <c r="C5" s="2" t="inlineStr">
        <is>
          <t>g/t</t>
        </is>
      </c>
      <c r="D5" s="23" t="inlineStr">
        <is>
          <t>Length-weighted grade at the stated cut-off.</t>
        </is>
      </c>
    </row>
    <row r="6" ht="17.5" customHeight="1">
      <c r="A6" s="6" t="inlineStr">
        <is>
          <t>Downhole intercept length (m)</t>
        </is>
      </c>
      <c r="B6" s="22" t="n">
        <v>18</v>
      </c>
      <c r="C6" s="2" t="inlineStr">
        <is>
          <t>m</t>
        </is>
      </c>
      <c r="D6" s="23" t="inlineStr">
        <is>
          <t>As reported.</t>
        </is>
      </c>
    </row>
    <row r="7" ht="31" customHeight="1">
      <c r="A7" s="6" t="inlineStr">
        <is>
          <t>Angle between hole and mineralised zone (degrees)</t>
        </is>
      </c>
      <c r="B7" s="11" t="n">
        <v>60</v>
      </c>
      <c r="C7" s="2" t="inlineStr">
        <is>
          <t>deg</t>
        </is>
      </c>
      <c r="D7" s="23" t="inlineStr">
        <is>
          <t>From the cross-section; 90 = perpendicular. If unknown, 45-60 for steep veins drilled at -50 to -60.</t>
        </is>
      </c>
    </row>
    <row r="8" ht="17.5" customHeight="1">
      <c r="A8" s="6" t="inlineStr">
        <is>
          <t>True width (m)</t>
        </is>
      </c>
      <c r="B8" s="24">
        <f>B6*SIN(RADIANS(B7))</f>
        <v/>
      </c>
      <c r="C8" s="2" t="inlineStr">
        <is>
          <t>m</t>
        </is>
      </c>
      <c r="D8" s="23" t="inlineStr">
        <is>
          <t>Formula: downhole length x sin(angle).</t>
        </is>
      </c>
    </row>
    <row r="9" ht="31" customHeight="1">
      <c r="A9" s="6" t="inlineStr">
        <is>
          <t>GT on true width (g/t x m)</t>
        </is>
      </c>
      <c r="B9" s="24">
        <f>B5*B8</f>
        <v/>
      </c>
      <c r="C9" s="2" t="inlineStr">
        <is>
          <t>g/t x m</t>
        </is>
      </c>
      <c r="D9" s="23" t="inlineStr">
        <is>
          <t>Ladder: &lt;20 anomalous; 20-50 follow up; &gt;=50 interesting; &gt;=100 strong; &gt;=134 and &gt;=10 m true width = tier-one class.</t>
        </is>
      </c>
    </row>
    <row r="10"/>
    <row r="11">
      <c r="A11" s="5" t="inlineStr">
        <is>
          <t>2. Interval without the 'including' sub-interval (D-04)</t>
        </is>
      </c>
    </row>
    <row r="12" ht="17.5" customHeight="1">
      <c r="A12" s="6" t="inlineStr">
        <is>
          <t>Full interval length L (m)</t>
        </is>
      </c>
      <c r="B12" s="22" t="n">
        <v>12</v>
      </c>
      <c r="C12" s="2" t="inlineStr">
        <is>
          <t>m</t>
        </is>
      </c>
      <c r="D12" s="23" t="inlineStr"/>
    </row>
    <row r="13" ht="17.5" customHeight="1">
      <c r="A13" s="6" t="inlineStr">
        <is>
          <t>Full interval grade g (g/t)</t>
        </is>
      </c>
      <c r="B13" s="22" t="n">
        <v>4.8</v>
      </c>
      <c r="C13" s="2" t="inlineStr">
        <is>
          <t>g/t</t>
        </is>
      </c>
      <c r="D13" s="23" t="inlineStr"/>
    </row>
    <row r="14" ht="17.5" customHeight="1">
      <c r="A14" s="6" t="inlineStr">
        <is>
          <t>'Including' length l (m)</t>
        </is>
      </c>
      <c r="B14" s="22" t="n">
        <v>0.5</v>
      </c>
      <c r="C14" s="2" t="inlineStr">
        <is>
          <t>m</t>
        </is>
      </c>
      <c r="D14" s="23" t="inlineStr"/>
    </row>
    <row r="15" ht="17.5" customHeight="1">
      <c r="A15" s="6" t="inlineStr">
        <is>
          <t>'Including' grade (g/t)</t>
        </is>
      </c>
      <c r="B15" s="22" t="n">
        <v>98</v>
      </c>
      <c r="C15" s="2" t="inlineStr">
        <is>
          <t>g/t</t>
        </is>
      </c>
      <c r="D15" s="23" t="inlineStr"/>
    </row>
    <row r="16" ht="17.5" customHeight="1">
      <c r="A16" s="6" t="inlineStr">
        <is>
          <t>Metal share of the 'including' sub-interval</t>
        </is>
      </c>
      <c r="B16" s="25">
        <f>IF(B12*B13=0,0,(B14*B15)/(B12*B13))</f>
        <v/>
      </c>
      <c r="C16" s="2" t="inlineStr">
        <is>
          <t>%</t>
        </is>
      </c>
      <c r="D16" s="23" t="inlineStr">
        <is>
          <t>&gt; 70% of the metal in &lt; 20% of the length = narrow vein dressed as bulk tonnage.</t>
        </is>
      </c>
    </row>
    <row r="17" ht="17.5" customHeight="1">
      <c r="A17" s="6" t="inlineStr">
        <is>
          <t>Grade of the remainder (g/t)</t>
        </is>
      </c>
      <c r="B17" s="24">
        <f>IF(B12-B14=0,0,(B12*B13-B14*B15)/(B12-B14))</f>
        <v/>
      </c>
      <c r="C17" s="2" t="inlineStr">
        <is>
          <t>g/t</t>
        </is>
      </c>
      <c r="D17" s="23" t="inlineStr">
        <is>
          <t>Formula: (L x g - l x g_incl) / (L - l).</t>
        </is>
      </c>
    </row>
    <row r="18"/>
    <row r="19">
      <c r="A19" s="5" t="inlineStr">
        <is>
          <t>3. Size of the prize (V-01)</t>
        </is>
      </c>
    </row>
    <row r="20" ht="17.5" customHeight="1">
      <c r="A20" s="6" t="inlineStr">
        <is>
          <t>Drill-confirmed strike (m)</t>
        </is>
      </c>
      <c r="B20" s="11" t="n">
        <v>1000</v>
      </c>
      <c r="C20" s="2" t="inlineStr">
        <is>
          <t>m</t>
        </is>
      </c>
      <c r="D20" s="23" t="inlineStr">
        <is>
          <t>D-07.</t>
        </is>
      </c>
    </row>
    <row r="21" ht="17.5" customHeight="1">
      <c r="A21" s="6" t="inlineStr">
        <is>
          <t>Down-dip extent (m)</t>
        </is>
      </c>
      <c r="B21" s="11" t="n">
        <v>300</v>
      </c>
      <c r="C21" s="2" t="inlineStr">
        <is>
          <t>m</t>
        </is>
      </c>
      <c r="D21" s="23" t="inlineStr">
        <is>
          <t>D-08; 300 if untested.</t>
        </is>
      </c>
    </row>
    <row r="22" ht="17.5" customHeight="1">
      <c r="A22" s="6" t="inlineStr">
        <is>
          <t>Average true width of mineralised holes (m)</t>
        </is>
      </c>
      <c r="B22" s="22" t="n">
        <v>8</v>
      </c>
      <c r="C22" s="2" t="inlineStr">
        <is>
          <t>m</t>
        </is>
      </c>
      <c r="D22" s="23" t="inlineStr">
        <is>
          <t>D-03, averaged over the mineralised holes, not the best hole.</t>
        </is>
      </c>
    </row>
    <row r="23" ht="17.5" customHeight="1">
      <c r="A23" s="6" t="inlineStr">
        <is>
          <t>Density (t/m3)</t>
        </is>
      </c>
      <c r="B23" s="22" t="n">
        <v>2.7</v>
      </c>
      <c r="C23" s="2" t="inlineStr">
        <is>
          <t>t/m3</t>
        </is>
      </c>
      <c r="D23" s="23" t="inlineStr">
        <is>
          <t>2.7 fresh rock; 2.2 oxide or saprolite (R-09).</t>
        </is>
      </c>
    </row>
    <row r="24" ht="17.5" customHeight="1">
      <c r="A24" s="6" t="inlineStr">
        <is>
          <t>Average grade of mineralised intercepts (g/t Au)</t>
        </is>
      </c>
      <c r="B24" s="22" t="n">
        <v>1.5</v>
      </c>
      <c r="C24" s="2" t="inlineStr">
        <is>
          <t>g/t</t>
        </is>
      </c>
      <c r="D24" s="23" t="inlineStr">
        <is>
          <t>D-05, not the best hole.</t>
        </is>
      </c>
    </row>
    <row r="25" ht="17.5" customHeight="1">
      <c r="A25" s="6" t="inlineStr">
        <is>
          <t>Continuity factor (0.2 low / 0.5 mid / 0.8 high)</t>
        </is>
      </c>
      <c r="B25" s="22" t="n">
        <v>0.5</v>
      </c>
      <c r="C25" s="2" t="inlineStr">
        <is>
          <t>x</t>
        </is>
      </c>
      <c r="D25" s="23" t="inlineStr">
        <is>
          <t>Your confidence that mineralisation is continuous between holes.</t>
        </is>
      </c>
    </row>
    <row r="26" ht="17.5" customHeight="1">
      <c r="A26" s="6" t="inlineStr">
        <is>
          <t>Tonnes (Mt)</t>
        </is>
      </c>
      <c r="B26" s="24">
        <f>B20*B21*B22*B23/1000000</f>
        <v/>
      </c>
      <c r="C26" s="2" t="inlineStr">
        <is>
          <t>Mt</t>
        </is>
      </c>
      <c r="D26" s="23" t="inlineStr"/>
    </row>
    <row r="27" ht="17.5" customHeight="1">
      <c r="A27" s="6" t="inlineStr">
        <is>
          <t>Ounces in situ, before factor (koz)</t>
        </is>
      </c>
      <c r="B27" s="12">
        <f>B20*B21*B22*B23*B24/31.1035/1000</f>
        <v/>
      </c>
      <c r="C27" s="2" t="inlineStr">
        <is>
          <t>koz</t>
        </is>
      </c>
      <c r="D27" s="23" t="inlineStr">
        <is>
          <t>Formula: tonnes x g/t / 31.1035.</t>
        </is>
      </c>
    </row>
    <row r="28" ht="44.5" customHeight="1">
      <c r="A28" s="6" t="inlineStr">
        <is>
          <t>Ounces, factored case (koz)</t>
        </is>
      </c>
      <c r="B28" s="12">
        <f>B27*B25</f>
        <v/>
      </c>
      <c r="C28" s="2" t="inlineStr">
        <is>
          <t>koz</t>
        </is>
      </c>
      <c r="D28" s="23" t="inlineStr">
        <is>
          <t>Ladder: &lt;500 koz mid case rarely matters; 0.5-1 Moz stand-alone underground minimum at high grade (R-17); 1.5-2 Moz heap-leach minimum; &gt;3 Moz M&amp;I M&amp;A-relevant (X-02).</t>
        </is>
      </c>
    </row>
    <row r="29"/>
    <row r="30">
      <c r="A30" s="5" t="inlineStr">
        <is>
          <t>4. Strip-ratio screen (MP-10)</t>
        </is>
      </c>
    </row>
    <row r="31" ht="17.5" customHeight="1">
      <c r="A31" s="6" t="inlineStr">
        <is>
          <t>Diluted head grade (g/t Au)</t>
        </is>
      </c>
      <c r="B31" s="22" t="n">
        <v>1</v>
      </c>
      <c r="C31" s="2" t="inlineStr">
        <is>
          <t>g/t</t>
        </is>
      </c>
      <c r="D31" s="23" t="inlineStr">
        <is>
          <t>Use diluted head grade, not resource grade.</t>
        </is>
      </c>
    </row>
    <row r="32" ht="17.5" customHeight="1">
      <c r="A32" s="6" t="inlineStr">
        <is>
          <t>Recovery (fraction)</t>
        </is>
      </c>
      <c r="B32" s="22" t="n">
        <v>0.9</v>
      </c>
      <c r="C32" s="2" t="inlineStr">
        <is>
          <t>x</t>
        </is>
      </c>
      <c r="D32" s="23" t="inlineStr"/>
    </row>
    <row r="33" ht="31" customHeight="1">
      <c r="A33" s="6" t="inlineStr">
        <is>
          <t>Gold price (US$/oz)</t>
        </is>
      </c>
      <c r="B33" s="11">
        <f>'DD Questionnaire'!$E$12</f>
        <v/>
      </c>
      <c r="C33" s="2" t="inlineStr">
        <is>
          <t>US$/oz</t>
        </is>
      </c>
      <c r="D33" s="23" t="inlineStr">
        <is>
          <t>Defaults to the base-case majors' reserve price from the price deck; do not use spot.</t>
        </is>
      </c>
    </row>
    <row r="34" ht="17.5" customHeight="1">
      <c r="A34" s="6" t="inlineStr">
        <is>
          <t>Processing + G&amp;A cost (US$/t ore)</t>
        </is>
      </c>
      <c r="B34" s="22" t="n">
        <v>22</v>
      </c>
      <c r="C34" s="2" t="inlineStr">
        <is>
          <t>US$/t</t>
        </is>
      </c>
      <c r="D34" s="23" t="inlineStr">
        <is>
          <t>US$18-25 typical.</t>
        </is>
      </c>
    </row>
    <row r="35" ht="17.5" customHeight="1">
      <c r="A35" s="6" t="inlineStr">
        <is>
          <t>Waste mining cost (US$/t waste)</t>
        </is>
      </c>
      <c r="B35" s="22" t="n">
        <v>3.5</v>
      </c>
      <c r="C35" s="2" t="inlineStr">
        <is>
          <t>US$/t</t>
        </is>
      </c>
      <c r="D35" s="23" t="inlineStr">
        <is>
          <t>US$3-4 hard rock; free-dig oxide 1.5-2; Arctic or high altitude 5+.</t>
        </is>
      </c>
    </row>
    <row r="36" ht="17.5" customHeight="1">
      <c r="A36" s="6" t="inlineStr">
        <is>
          <t>Revenue per tonne of ore (US$/t)</t>
        </is>
      </c>
      <c r="B36" s="24">
        <f>B31/31.1035*B33*B32</f>
        <v/>
      </c>
      <c r="C36" s="2" t="inlineStr">
        <is>
          <t>US$/t</t>
        </is>
      </c>
      <c r="D36" s="23" t="inlineStr">
        <is>
          <t>Formula: grade / 31.1035 x price x recovery.</t>
        </is>
      </c>
    </row>
    <row r="37" ht="17.5" customHeight="1">
      <c r="A37" s="6" t="inlineStr">
        <is>
          <t>Theoretical maximum strip ratio</t>
        </is>
      </c>
      <c r="B37" s="24">
        <f>IF(B35=0,0,MAX(0,(B36-B34)/B35))</f>
        <v/>
      </c>
      <c r="C37" s="2" t="inlineStr">
        <is>
          <t>t:t</t>
        </is>
      </c>
      <c r="D37" s="23" t="inlineStr">
        <is>
          <t>Formula: (revenue - processing &amp; G&amp;A) / waste cost.</t>
        </is>
      </c>
    </row>
    <row r="38" ht="17.5" customHeight="1">
      <c r="A38" s="6" t="inlineStr">
        <is>
          <t>Comfort limit (one third of theoretical)</t>
        </is>
      </c>
      <c r="B38" s="24">
        <f>B37/3</f>
        <v/>
      </c>
      <c r="C38" s="2" t="inlineStr">
        <is>
          <t>t:t</t>
        </is>
      </c>
      <c r="D38" s="23" t="inlineStr">
        <is>
          <t>Compare with the study's life-of-mine and year 1-3 strip ratios.</t>
        </is>
      </c>
    </row>
    <row r="39" ht="17.5" customHeight="1">
      <c r="A39" s="6" t="inlineStr">
        <is>
          <t>Author's rule of thumb (grade / 0.5)</t>
        </is>
      </c>
      <c r="B39" s="24">
        <f>B31/0.5</f>
        <v/>
      </c>
      <c r="C39" s="2" t="inlineStr">
        <is>
          <t>t:t</t>
        </is>
      </c>
      <c r="D39" s="23" t="inlineStr">
        <is>
          <t>One unit of strip per 0.5 g/t; the conservative screen.</t>
        </is>
      </c>
    </row>
    <row r="40"/>
    <row r="41">
      <c r="A41" s="5" t="inlineStr">
        <is>
          <t>5. Break-even cut-off grade (R-04)</t>
        </is>
      </c>
    </row>
    <row r="42" ht="17.5" customHeight="1">
      <c r="A42" s="6" t="inlineStr">
        <is>
          <t>Processing + G&amp;A cost (US$/t ore)</t>
        </is>
      </c>
      <c r="B42" s="22" t="n">
        <v>22</v>
      </c>
      <c r="C42" s="2" t="inlineStr">
        <is>
          <t>US$/t</t>
        </is>
      </c>
      <c r="D42" s="23" t="inlineStr"/>
    </row>
    <row r="43" ht="17.5" customHeight="1">
      <c r="A43" s="6" t="inlineStr">
        <is>
          <t>Gold price (US$/oz)</t>
        </is>
      </c>
      <c r="B43" s="11">
        <f>'DD Questionnaire'!$E$8</f>
        <v/>
      </c>
      <c r="C43" s="2" t="inlineStr">
        <is>
          <t>US$/oz</t>
        </is>
      </c>
      <c r="D43" s="23" t="inlineStr">
        <is>
          <t>Defaults to the majors' resource price.</t>
        </is>
      </c>
    </row>
    <row r="44" ht="17.5" customHeight="1">
      <c r="A44" s="6" t="inlineStr">
        <is>
          <t>Recovery (fraction)</t>
        </is>
      </c>
      <c r="B44" s="22" t="n">
        <v>0.9</v>
      </c>
      <c r="C44" s="2" t="inlineStr">
        <is>
          <t>x</t>
        </is>
      </c>
      <c r="D44" s="23" t="inlineStr"/>
    </row>
    <row r="45" ht="31" customHeight="1">
      <c r="A45" s="6" t="inlineStr">
        <is>
          <t>Break-even cut-off (g/t)</t>
        </is>
      </c>
      <c r="B45" s="24">
        <f>IF(B43*B44=0,0,B42/(B43/31.1035*B44))</f>
        <v/>
      </c>
      <c r="C45" s="2" t="inlineStr">
        <is>
          <t>g/t</t>
        </is>
      </c>
      <c r="D45" s="23" t="inlineStr">
        <is>
          <t>Formula: cost per tonne / (price per gram x recovery). Compare with the report's cut-off; the author's floors are 0.5 g/t open pit, 2.0 g/t underground.</t>
        </is>
      </c>
    </row>
    <row r="46"/>
    <row r="47">
      <c r="A47" s="5" t="inlineStr">
        <is>
          <t>6. Cash runway (F-03), cost of the test (E-03) and funded test (F-07)</t>
        </is>
      </c>
    </row>
    <row r="48" ht="17.5" customHeight="1">
      <c r="A48" s="6" t="inlineStr">
        <is>
          <t>Working capital (m$)</t>
        </is>
      </c>
      <c r="B48" s="22" t="n">
        <v>2.1</v>
      </c>
      <c r="C48" s="2" t="inlineStr">
        <is>
          <t>m$</t>
        </is>
      </c>
      <c r="D48" s="23" t="inlineStr">
        <is>
          <t>F-01, dated; current assets minus current liabilities.</t>
        </is>
      </c>
    </row>
    <row r="49" ht="17.5" customHeight="1">
      <c r="A49" s="6" t="inlineStr">
        <is>
          <t>Vendor / option payments due in 12 months (m$)</t>
        </is>
      </c>
      <c r="B49" s="22" t="n">
        <v>0.3</v>
      </c>
      <c r="C49" s="2" t="inlineStr">
        <is>
          <t>m$</t>
        </is>
      </c>
      <c r="D49" s="23" t="inlineStr">
        <is>
          <t>A-02.</t>
        </is>
      </c>
    </row>
    <row r="50" ht="17.5" customHeight="1">
      <c r="A50" s="6" t="inlineStr">
        <is>
          <t>Monthly G&amp;A (m$)</t>
        </is>
      </c>
      <c r="B50" s="22" t="n">
        <v>0.12</v>
      </c>
      <c r="C50" s="2" t="inlineStr">
        <is>
          <t>m$</t>
        </is>
      </c>
      <c r="D50" s="23" t="inlineStr">
        <is>
          <t>F-02 / 12.</t>
        </is>
      </c>
    </row>
    <row r="51" ht="17.5" customHeight="1">
      <c r="A51" s="6" t="inlineStr">
        <is>
          <t>Planned monthly exploration (m$)</t>
        </is>
      </c>
      <c r="B51" s="22" t="n">
        <v>0.25</v>
      </c>
      <c r="C51" s="2" t="inlineStr">
        <is>
          <t>m$</t>
        </is>
      </c>
      <c r="D51" s="23" t="inlineStr">
        <is>
          <t>Programme budget / months.</t>
        </is>
      </c>
    </row>
    <row r="52" ht="31" customHeight="1">
      <c r="A52" s="6" t="inlineStr">
        <is>
          <t>Runway (months)</t>
        </is>
      </c>
      <c r="B52" s="24">
        <f>IF(B50+B51=0,0,(B48-B49)/(B50+B51))</f>
        <v/>
      </c>
      <c r="C52" s="2" t="inlineStr">
        <is>
          <t>months</t>
        </is>
      </c>
      <c r="D52" s="23" t="inlineStr">
        <is>
          <t>12 or more comfortable; 6-12 financing within the year; &lt; 6 = financing imminent (red flag).</t>
        </is>
      </c>
    </row>
    <row r="53" ht="17.5" customHeight="1">
      <c r="A53" s="6" t="inlineStr">
        <is>
          <t>Planned metres</t>
        </is>
      </c>
      <c r="B53" s="11" t="n">
        <v>5000</v>
      </c>
      <c r="C53" s="2" t="inlineStr">
        <is>
          <t>m</t>
        </is>
      </c>
      <c r="D53" s="23" t="inlineStr">
        <is>
          <t>E-01.</t>
        </is>
      </c>
    </row>
    <row r="54" ht="17.5" customHeight="1">
      <c r="A54" s="6" t="inlineStr">
        <is>
          <t>All-in cost per metre (US$/m)</t>
        </is>
      </c>
      <c r="B54" s="11" t="n">
        <v>300</v>
      </c>
      <c r="C54" s="2" t="inlineStr">
        <is>
          <t>US$/m</t>
        </is>
      </c>
      <c r="D54" s="23" t="inlineStr">
        <is>
          <t>E-04.</t>
        </is>
      </c>
    </row>
    <row r="55" ht="17.5" customHeight="1">
      <c r="A55" s="6" t="inlineStr">
        <is>
          <t>Other programme costs (m$)</t>
        </is>
      </c>
      <c r="B55" s="22" t="n">
        <v>0.6</v>
      </c>
      <c r="C55" s="2" t="inlineStr">
        <is>
          <t>m$</t>
        </is>
      </c>
      <c r="D55" s="23" t="inlineStr">
        <is>
          <t>Geophysics, permitting, camp and G&amp;A for the programme period.</t>
        </is>
      </c>
    </row>
    <row r="56" ht="17.5" customHeight="1">
      <c r="A56" s="6" t="inlineStr">
        <is>
          <t>Cost of the test (m$)</t>
        </is>
      </c>
      <c r="B56" s="24">
        <f>B53*B54/1000000+B55</f>
        <v/>
      </c>
      <c r="C56" s="2" t="inlineStr">
        <is>
          <t>m$</t>
        </is>
      </c>
      <c r="D56" s="23" t="inlineStr">
        <is>
          <t>Formula: metres x $/m / 1,000,000 + other costs.</t>
        </is>
      </c>
    </row>
    <row r="57" ht="31" customHeight="1">
      <c r="A57" s="6" t="inlineStr">
        <is>
          <t>Funded from working capital?</t>
        </is>
      </c>
      <c r="B57" s="26">
        <f>IF((B48-B49)&gt;=1.5*B56+12*B50,"Yes","No: expect a financing before results")</f>
        <v/>
      </c>
      <c r="C57" s="2" t="inlineStr"/>
      <c r="D57" s="23" t="inlineStr">
        <is>
          <t>Yes if working capital - payments due &gt;= 1.5 x cost of the test + 12 months of G&amp;A (F-07).</t>
        </is>
      </c>
    </row>
    <row r="58"/>
    <row r="59">
      <c r="A59" s="5" t="inlineStr">
        <is>
          <t>7. Spending discipline ratios (F-04, F-05)</t>
        </is>
      </c>
    </row>
    <row r="60" ht="31" customHeight="1">
      <c r="A60" s="6" t="inlineStr">
        <is>
          <t>Cash G&amp;A, 12 months (m$)</t>
        </is>
      </c>
      <c r="B60" s="22" t="n">
        <v>1.4</v>
      </c>
      <c r="C60" s="2" t="inlineStr">
        <is>
          <t>m$</t>
        </is>
      </c>
      <c r="D60" s="23" t="inlineStr">
        <is>
          <t>Include IR, marketing, consulting, professional and management fees; exclude share-based compensation.</t>
        </is>
      </c>
    </row>
    <row r="61" ht="17.5" customHeight="1">
      <c r="A61" s="6" t="inlineStr">
        <is>
          <t>Exploration &amp; evaluation, 12 months (m$)</t>
        </is>
      </c>
      <c r="B61" s="22" t="n">
        <v>3.1</v>
      </c>
      <c r="C61" s="2" t="inlineStr">
        <is>
          <t>m$</t>
        </is>
      </c>
      <c r="D61" s="23" t="inlineStr">
        <is>
          <t>Exclude property acquisition payments.</t>
        </is>
      </c>
    </row>
    <row r="62" ht="17.5" customHeight="1">
      <c r="A62" s="6" t="inlineStr">
        <is>
          <t>Drilling + assays, 12 months (m$)</t>
        </is>
      </c>
      <c r="B62" s="22" t="n">
        <v>2.2</v>
      </c>
      <c r="C62" s="2" t="inlineStr">
        <is>
          <t>m$</t>
        </is>
      </c>
      <c r="D62" s="23" t="inlineStr"/>
    </row>
    <row r="63" ht="31" customHeight="1">
      <c r="A63" s="6" t="inlineStr">
        <is>
          <t>IR + marketing + promotion + consulting, 12 months (m$)</t>
        </is>
      </c>
      <c r="B63" s="22" t="n">
        <v>0.35</v>
      </c>
      <c r="C63" s="2" t="inlineStr">
        <is>
          <t>m$</t>
        </is>
      </c>
      <c r="D63" s="23" t="inlineStr"/>
    </row>
    <row r="64" ht="17.5" customHeight="1">
      <c r="A64" s="6" t="inlineStr">
        <is>
          <t>CEO base salary (k$)</t>
        </is>
      </c>
      <c r="B64" s="11" t="n">
        <v>240</v>
      </c>
      <c r="C64" s="2" t="inlineStr">
        <is>
          <t>k$</t>
        </is>
      </c>
      <c r="D64" s="23" t="inlineStr"/>
    </row>
    <row r="65" ht="17.5" customHeight="1">
      <c r="A65" s="6" t="inlineStr">
        <is>
          <t>VP Exploration base salary (k$)</t>
        </is>
      </c>
      <c r="B65" s="11" t="n">
        <v>200</v>
      </c>
      <c r="C65" s="2" t="inlineStr">
        <is>
          <t>k$</t>
        </is>
      </c>
      <c r="D65" s="23" t="inlineStr"/>
    </row>
    <row r="66" ht="17.5" customHeight="1">
      <c r="A66" s="6" t="inlineStr">
        <is>
          <t>Exploration share of spend (scored in F-04)</t>
        </is>
      </c>
      <c r="B66" s="25">
        <f>IF(B60+B61=0,0,B61/(B60+B61))</f>
        <v/>
      </c>
      <c r="C66" s="2" t="inlineStr">
        <is>
          <t>%</t>
        </is>
      </c>
      <c r="D66" s="23" t="inlineStr">
        <is>
          <t>Scaled target: &lt; 2 m$ total spend 60%; 2-5 m$ 70%; &gt; 5 m$ 80%.</t>
        </is>
      </c>
    </row>
    <row r="67" ht="17.5" customHeight="1">
      <c r="A67" s="6" t="inlineStr">
        <is>
          <t>G&amp;A / E&amp;E (reference only)</t>
        </is>
      </c>
      <c r="B67" s="24">
        <f>IF(B61=0,0,B60/B61)</f>
        <v/>
      </c>
      <c r="C67" s="2" t="inlineStr">
        <is>
          <t>x</t>
        </is>
      </c>
      <c r="D67" s="23" t="inlineStr">
        <is>
          <t>The inverse of the exploration share; not scored separately.</t>
        </is>
      </c>
    </row>
    <row r="68" ht="17.5" customHeight="1">
      <c r="A68" s="6" t="inlineStr">
        <is>
          <t>Drilling + assays / marketing (scored in F-05)</t>
        </is>
      </c>
      <c r="B68" s="24">
        <f>IF(B63=0,0,B62/B63)</f>
        <v/>
      </c>
      <c r="C68" s="2" t="inlineStr">
        <is>
          <t>x</t>
        </is>
      </c>
      <c r="D68" s="23" t="inlineStr">
        <is>
          <t>&gt;= 5x good; &lt; 2x red flag.</t>
        </is>
      </c>
    </row>
    <row r="69" ht="17.5" customHeight="1">
      <c r="A69" s="6" t="inlineStr">
        <is>
          <t>CEO base / VP Exploration base (scored in P-15)</t>
        </is>
      </c>
      <c r="B69" s="24">
        <f>IF(B65=0,0,B64/B65)</f>
        <v/>
      </c>
      <c r="C69" s="2" t="inlineStr">
        <is>
          <t>x</t>
        </is>
      </c>
      <c r="D69" s="23" t="inlineStr">
        <is>
          <t>1.0-1.5x normal; &gt;= 2x red flag.</t>
        </is>
      </c>
    </row>
    <row r="70"/>
    <row r="71">
      <c r="A71" s="5" t="inlineStr">
        <is>
          <t>8. Overhang, enterprise value and EV per ounce (K-01, K-02, K-04, K-08)</t>
        </is>
      </c>
    </row>
    <row r="72" ht="17.5" customHeight="1">
      <c r="A72" s="6" t="inlineStr">
        <is>
          <t>Basic shares outstanding (m)</t>
        </is>
      </c>
      <c r="B72" s="11" t="n">
        <v>180</v>
      </c>
      <c r="C72" s="2" t="inlineStr">
        <is>
          <t>m</t>
        </is>
      </c>
      <c r="D72" s="23" t="inlineStr">
        <is>
          <t>MD&amp;A 'Outstanding share data'.</t>
        </is>
      </c>
    </row>
    <row r="73" ht="17.5" customHeight="1">
      <c r="A73" s="6" t="inlineStr">
        <is>
          <t>Warrants outstanding (m)</t>
        </is>
      </c>
      <c r="B73" s="11" t="n">
        <v>55</v>
      </c>
      <c r="C73" s="2" t="inlineStr">
        <is>
          <t>m</t>
        </is>
      </c>
      <c r="D73" s="23" t="inlineStr"/>
    </row>
    <row r="74" ht="17.5" customHeight="1">
      <c r="A74" s="6" t="inlineStr">
        <is>
          <t>Options, RSUs and DSUs outstanding (m)</t>
        </is>
      </c>
      <c r="B74" s="11" t="n">
        <v>15</v>
      </c>
      <c r="C74" s="2" t="inlineStr">
        <is>
          <t>m</t>
        </is>
      </c>
      <c r="D74" s="23" t="inlineStr"/>
    </row>
    <row r="75" ht="17.5" customHeight="1">
      <c r="A75" s="6" t="inlineStr">
        <is>
          <t>Broker / finder warrants (m)</t>
        </is>
      </c>
      <c r="B75" s="11" t="n">
        <v>4</v>
      </c>
      <c r="C75" s="2" t="inlineStr">
        <is>
          <t>m</t>
        </is>
      </c>
      <c r="D75" s="23" t="inlineStr"/>
    </row>
    <row r="76" ht="17.5" customHeight="1">
      <c r="A76" s="6" t="inlineStr">
        <is>
          <t>Warrants in the money at current price (m)</t>
        </is>
      </c>
      <c r="B76" s="11" t="n">
        <v>40</v>
      </c>
      <c r="C76" s="2" t="inlineStr">
        <is>
          <t>m</t>
        </is>
      </c>
      <c r="D76" s="23" t="inlineStr"/>
    </row>
    <row r="77" ht="17.5" customHeight="1">
      <c r="A77" s="6" t="inlineStr">
        <is>
          <t>Share price</t>
        </is>
      </c>
      <c r="B77" s="22" t="n">
        <v>0.31</v>
      </c>
      <c r="C77" s="2" t="inlineStr">
        <is>
          <t>$</t>
        </is>
      </c>
      <c r="D77" s="23" t="inlineStr">
        <is>
          <t>Home-exchange price in the sheet currency.</t>
        </is>
      </c>
    </row>
    <row r="78" ht="17.5" customHeight="1">
      <c r="A78" s="6" t="inlineStr">
        <is>
          <t>Debt (m$)</t>
        </is>
      </c>
      <c r="B78" s="22" t="n">
        <v>0</v>
      </c>
      <c r="C78" s="2" t="inlineStr">
        <is>
          <t>m$</t>
        </is>
      </c>
      <c r="D78" s="23" t="inlineStr"/>
    </row>
    <row r="79" ht="17.5" customHeight="1">
      <c r="A79" s="6" t="inlineStr">
        <is>
          <t>Committed vendor / option payments remaining (m$)</t>
        </is>
      </c>
      <c r="B79" s="22" t="n">
        <v>0.3</v>
      </c>
      <c r="C79" s="2" t="inlineStr">
        <is>
          <t>m$</t>
        </is>
      </c>
      <c r="D79" s="23" t="inlineStr">
        <is>
          <t>A-02, total remaining.</t>
        </is>
      </c>
    </row>
    <row r="80" ht="17.5" customHeight="1">
      <c r="A80" s="6" t="inlineStr">
        <is>
          <t>Cash (m$)</t>
        </is>
      </c>
      <c r="B80" s="22" t="n">
        <v>2.1</v>
      </c>
      <c r="C80" s="2" t="inlineStr">
        <is>
          <t>m$</t>
        </is>
      </c>
      <c r="D80" s="23" t="inlineStr"/>
    </row>
    <row r="81" ht="17.5" customHeight="1">
      <c r="A81" s="6" t="inlineStr">
        <is>
          <t>M&amp;I ounces (koz)</t>
        </is>
      </c>
      <c r="B81" s="11" t="n">
        <v>0</v>
      </c>
      <c r="C81" s="2" t="inlineStr">
        <is>
          <t>koz</t>
        </is>
      </c>
      <c r="D81" s="23" t="inlineStr">
        <is>
          <t>Resource stage only.</t>
        </is>
      </c>
    </row>
    <row r="82" ht="17.5" customHeight="1">
      <c r="A82" s="6" t="inlineStr">
        <is>
          <t>Inferred ounces (koz)</t>
        </is>
      </c>
      <c r="B82" s="11" t="n">
        <v>0</v>
      </c>
      <c r="C82" s="2" t="inlineStr">
        <is>
          <t>koz</t>
        </is>
      </c>
      <c r="D82" s="23" t="inlineStr"/>
    </row>
    <row r="83" ht="17.5" customHeight="1">
      <c r="A83" s="6" t="inlineStr">
        <is>
          <t>Fully diluted shares (m)</t>
        </is>
      </c>
      <c r="B83" s="12">
        <f>B72+B73+B74+B75</f>
        <v/>
      </c>
      <c r="C83" s="2" t="inlineStr">
        <is>
          <t>m</t>
        </is>
      </c>
      <c r="D83" s="23" t="inlineStr"/>
    </row>
    <row r="84" ht="17.5" customHeight="1">
      <c r="A84" s="6" t="inlineStr">
        <is>
          <t>Fully diluted / basic</t>
        </is>
      </c>
      <c r="B84" s="24">
        <f>IF(B72=0,0,B83/B72)</f>
        <v/>
      </c>
      <c r="C84" s="2" t="inlineStr">
        <is>
          <t>x</t>
        </is>
      </c>
      <c r="D84" s="23" t="inlineStr">
        <is>
          <t>&lt; 1.2 comfortable; 1.2-1.4 watch; &gt; 1.4 red flag.</t>
        </is>
      </c>
    </row>
    <row r="85" ht="17.5" customHeight="1">
      <c r="A85" s="6" t="inlineStr">
        <is>
          <t>Dilutive overhang (% of basic)</t>
        </is>
      </c>
      <c r="B85" s="25">
        <f>IF(B72=0,0,(B73+B74+B75)/B72)</f>
        <v/>
      </c>
      <c r="C85" s="2" t="inlineStr">
        <is>
          <t>%</t>
        </is>
      </c>
      <c r="D85" s="23" t="inlineStr">
        <is>
          <t>&lt; 20% comfortable; 20-40% watch; &gt; 40% red flag.</t>
        </is>
      </c>
    </row>
    <row r="86" ht="17.5" customHeight="1">
      <c r="A86" s="6" t="inlineStr">
        <is>
          <t>In-the-money warrants (% of basic)</t>
        </is>
      </c>
      <c r="B86" s="25">
        <f>IF(B72=0,0,B76/B72)</f>
        <v/>
      </c>
      <c r="C86" s="2" t="inlineStr">
        <is>
          <t>%</t>
        </is>
      </c>
      <c r="D86" s="23" t="inlineStr">
        <is>
          <t>&gt; 20% = selling pressure on rallies.</t>
        </is>
      </c>
    </row>
    <row r="87" ht="17.5" customHeight="1">
      <c r="A87" s="6" t="inlineStr">
        <is>
          <t>Market cap, basic (m$)</t>
        </is>
      </c>
      <c r="B87" s="24">
        <f>B72*B77</f>
        <v/>
      </c>
      <c r="C87" s="2" t="inlineStr">
        <is>
          <t>m$</t>
        </is>
      </c>
      <c r="D87" s="23" t="inlineStr"/>
    </row>
    <row r="88" ht="17.5" customHeight="1">
      <c r="A88" s="6" t="inlineStr">
        <is>
          <t>Enterprise value (m$)</t>
        </is>
      </c>
      <c r="B88" s="24">
        <f>B87+B78+B79-B80</f>
        <v/>
      </c>
      <c r="C88" s="2" t="inlineStr">
        <is>
          <t>m$</t>
        </is>
      </c>
      <c r="D88" s="23" t="inlineStr">
        <is>
          <t>Formula: basic market cap + debt + committed payments - cash (K-02).</t>
        </is>
      </c>
    </row>
    <row r="89" ht="31" customHeight="1">
      <c r="A89" s="6" t="inlineStr">
        <is>
          <t>EV per ounce (M&amp;I + 0.5 x Inferred)</t>
        </is>
      </c>
      <c r="B89" s="12">
        <f>IF(B81+0.5*B82=0,0,B88*1000/(B81+0.5*B82))</f>
        <v/>
      </c>
      <c r="C89" s="2" t="inlineStr">
        <is>
          <t>$/oz</t>
        </is>
      </c>
      <c r="D89" s="23" t="inlineStr">
        <is>
          <t>Illustrative 2025-26 gold: Inferred-only 10-40; M&amp;I with PEA 40-100; &gt; 150 needs tier-one grade or a bidder.</t>
        </is>
      </c>
    </row>
    <row r="90"/>
    <row r="91">
      <c r="A91" s="5" t="inlineStr">
        <is>
          <t>9. Attributable interest (J-05)</t>
        </is>
      </c>
    </row>
    <row r="92" ht="17.5" customHeight="1">
      <c r="A92" s="6" t="inlineStr">
        <is>
          <t>Company ownership of the project (fraction)</t>
        </is>
      </c>
      <c r="B92" s="22" t="n">
        <v>1</v>
      </c>
      <c r="C92" s="2" t="inlineStr">
        <is>
          <t>x</t>
        </is>
      </c>
      <c r="D92" s="23" t="inlineStr">
        <is>
          <t>A-01.</t>
        </is>
      </c>
    </row>
    <row r="93" ht="17.5" customHeight="1">
      <c r="A93" s="6" t="inlineStr">
        <is>
          <t>State free-carried interest (fraction)</t>
        </is>
      </c>
      <c r="B93" s="22" t="n">
        <v>0.1</v>
      </c>
      <c r="C93" s="2" t="inlineStr">
        <is>
          <t>x</t>
        </is>
      </c>
      <c r="D93" s="23" t="inlineStr">
        <is>
          <t>J-03.</t>
        </is>
      </c>
    </row>
    <row r="94" ht="17.5" customHeight="1">
      <c r="A94" s="6" t="inlineStr">
        <is>
          <t>Government royalty, NSR-equivalent (fraction)</t>
        </is>
      </c>
      <c r="B94" s="22" t="n">
        <v>0.05</v>
      </c>
      <c r="C94" s="2" t="inlineStr">
        <is>
          <t>x</t>
        </is>
      </c>
      <c r="D94" s="23" t="inlineStr">
        <is>
          <t>J-04.</t>
        </is>
      </c>
    </row>
    <row r="95" ht="17.5" customHeight="1">
      <c r="A95" s="6" t="inlineStr">
        <is>
          <t>Private royalties, NSR (fraction)</t>
        </is>
      </c>
      <c r="B95" s="22" t="n">
        <v>0.02</v>
      </c>
      <c r="C95" s="2" t="inlineStr">
        <is>
          <t>x</t>
        </is>
      </c>
      <c r="D95" s="23" t="inlineStr">
        <is>
          <t>A-04.</t>
        </is>
      </c>
    </row>
    <row r="96" ht="31" customHeight="1">
      <c r="A96" s="6" t="inlineStr">
        <is>
          <t>Attributable interest</t>
        </is>
      </c>
      <c r="B96" s="25">
        <f>B92*(1-B93)</f>
        <v/>
      </c>
      <c r="C96" s="2" t="inlineStr">
        <is>
          <t>%</t>
        </is>
      </c>
      <c r="D96" s="23" t="inlineStr">
        <is>
          <t>Formula: ownership x (1 - state carry). Scale every ounce, NPV and EV/oz by this.</t>
        </is>
      </c>
    </row>
    <row r="97" ht="17.5" customHeight="1">
      <c r="A97" s="6" t="inlineStr">
        <is>
          <t>Share of gross revenue reaching shareholders</t>
        </is>
      </c>
      <c r="B97" s="25">
        <f>B92*(1-B93)*(1-B94-B95)</f>
        <v/>
      </c>
      <c r="C97" s="2" t="inlineStr">
        <is>
          <t>%</t>
        </is>
      </c>
      <c r="D97" s="23" t="inlineStr">
        <is>
          <t>Formula: attributable x (1 - royalties). Rough guide before tax.</t>
        </is>
      </c>
    </row>
    <row r="98"/>
    <row r="99">
      <c r="A99" s="5" t="inlineStr">
        <is>
          <t>10. Expected value versus market EV (V-04)</t>
        </is>
      </c>
    </row>
    <row r="100" ht="17.5" customHeight="1">
      <c r="A100" s="6" t="inlineStr">
        <is>
          <t>Chance of success (fraction)</t>
        </is>
      </c>
      <c r="B100" s="22" t="n">
        <v>0.15</v>
      </c>
      <c r="C100" s="2" t="inlineStr">
        <is>
          <t>x</t>
        </is>
      </c>
      <c r="D100" s="23" t="inlineStr">
        <is>
          <t>V-03.</t>
        </is>
      </c>
    </row>
    <row r="101" ht="17.5" customHeight="1">
      <c r="A101" s="6" t="inlineStr">
        <is>
          <t>Mid-case prize (koz)</t>
        </is>
      </c>
      <c r="B101" s="11" t="n">
        <v>156</v>
      </c>
      <c r="C101" s="2" t="inlineStr">
        <is>
          <t>koz</t>
        </is>
      </c>
      <c r="D101" s="23" t="inlineStr">
        <is>
          <t>V-01 factored case (block 3).</t>
        </is>
      </c>
    </row>
    <row r="102" ht="17.5" customHeight="1">
      <c r="A102" s="6" t="inlineStr">
        <is>
          <t>Attributable interest (fraction)</t>
        </is>
      </c>
      <c r="B102" s="22">
        <f>B96</f>
        <v/>
      </c>
      <c r="C102" s="2" t="inlineStr">
        <is>
          <t>x</t>
        </is>
      </c>
      <c r="D102" s="23" t="inlineStr">
        <is>
          <t>From block 9.</t>
        </is>
      </c>
    </row>
    <row r="103" ht="17.5" customHeight="1">
      <c r="A103" s="6" t="inlineStr">
        <is>
          <t>Value per ounce in a sale (US$/oz)</t>
        </is>
      </c>
      <c r="B103" s="11" t="n">
        <v>60</v>
      </c>
      <c r="C103" s="2" t="inlineStr">
        <is>
          <t>US$/oz</t>
        </is>
      </c>
      <c r="D103" s="23" t="inlineStr">
        <is>
          <t>X-08 precedent transactions or K-04 peer EV/oz.</t>
        </is>
      </c>
    </row>
    <row r="104" ht="17.5" customHeight="1">
      <c r="A104" s="6" t="inlineStr">
        <is>
          <t>Cost of the test (m$)</t>
        </is>
      </c>
      <c r="B104" s="22">
        <f>B56</f>
        <v/>
      </c>
      <c r="C104" s="2" t="inlineStr">
        <is>
          <t>m$</t>
        </is>
      </c>
      <c r="D104" s="23" t="inlineStr">
        <is>
          <t>From block 6.</t>
        </is>
      </c>
    </row>
    <row r="105" ht="17.5" customHeight="1">
      <c r="A105" s="6" t="inlineStr">
        <is>
          <t>Current enterprise value (m$)</t>
        </is>
      </c>
      <c r="B105" s="22">
        <f>B88</f>
        <v/>
      </c>
      <c r="C105" s="2" t="inlineStr">
        <is>
          <t>m$</t>
        </is>
      </c>
      <c r="D105" s="23" t="inlineStr">
        <is>
          <t>From block 8.</t>
        </is>
      </c>
    </row>
    <row r="106" ht="17.5" customHeight="1">
      <c r="A106" s="6" t="inlineStr">
        <is>
          <t>Success-case value (m$)</t>
        </is>
      </c>
      <c r="B106" s="24">
        <f>B101*B102*B103/1000</f>
        <v/>
      </c>
      <c r="C106" s="2" t="inlineStr">
        <is>
          <t>m$</t>
        </is>
      </c>
      <c r="D106" s="23" t="inlineStr">
        <is>
          <t>Formula: prize x attributable x $/oz / 1000.</t>
        </is>
      </c>
    </row>
    <row r="107" ht="17.5" customHeight="1">
      <c r="A107" s="6" t="inlineStr">
        <is>
          <t>Expected value of the test (m$)</t>
        </is>
      </c>
      <c r="B107" s="24">
        <f>B100*B106-B104</f>
        <v/>
      </c>
      <c r="C107" s="2" t="inlineStr">
        <is>
          <t>m$</t>
        </is>
      </c>
      <c r="D107" s="23" t="inlineStr">
        <is>
          <t>Formula: P x success-case value - cost of the test.</t>
        </is>
      </c>
    </row>
    <row r="108" ht="31" customHeight="1">
      <c r="A108" s="6" t="inlineStr">
        <is>
          <t>Asymmetry: success-case value / (current EV + cost of the test)</t>
        </is>
      </c>
      <c r="B108" s="24">
        <f>IF(B105+B104&lt;=0,0,B106/(B105+B104))</f>
        <v/>
      </c>
      <c r="C108" s="2" t="inlineStr">
        <is>
          <t>x</t>
        </is>
      </c>
      <c r="D108" s="23" t="inlineStr">
        <is>
          <t>&gt;= 5:1 attractive; EV &gt;= 50% of success-case value = upside priced in. Adding the cost approximates the dilution needed to fund the test.</t>
        </is>
      </c>
    </row>
    <row r="109"/>
    <row r="110">
      <c r="A110" s="5" t="inlineStr">
        <is>
          <t>11. AISC margin (X-04), discovery cost (E-05) and ounces per metre (R-10)</t>
        </is>
      </c>
    </row>
    <row r="111" ht="17.5" customHeight="1">
      <c r="A111" s="6" t="inlineStr">
        <is>
          <t>Life-of-mine AISC (US$/oz)</t>
        </is>
      </c>
      <c r="B111" s="11" t="n">
        <v>1250</v>
      </c>
      <c r="C111" s="2" t="inlineStr">
        <is>
          <t>US$/oz</t>
        </is>
      </c>
      <c r="D111" s="23" t="inlineStr">
        <is>
          <t>From the study.</t>
        </is>
      </c>
    </row>
    <row r="112" ht="17.5" customHeight="1">
      <c r="A112" s="6" t="inlineStr">
        <is>
          <t>Base-case gold price (US$/oz)</t>
        </is>
      </c>
      <c r="B112" s="11">
        <f>'DD Questionnaire'!$E$12</f>
        <v/>
      </c>
      <c r="C112" s="2" t="inlineStr">
        <is>
          <t>US$/oz</t>
        </is>
      </c>
      <c r="D112" s="23" t="inlineStr">
        <is>
          <t>Base-case majors' reserve price from the price deck.</t>
        </is>
      </c>
    </row>
    <row r="113" ht="17.5" customHeight="1">
      <c r="A113" s="6" t="inlineStr">
        <is>
          <t>AISC as % of base-case price</t>
        </is>
      </c>
      <c r="B113" s="25">
        <f>IF(B112=0,0,B111/B112)</f>
        <v/>
      </c>
      <c r="C113" s="2" t="inlineStr">
        <is>
          <t>%</t>
        </is>
      </c>
      <c r="D113" s="23" t="inlineStr">
        <is>
          <t>&lt;= 50-60% = good; the cost is a maximum, lower is better.</t>
        </is>
      </c>
    </row>
    <row r="114" ht="31" customHeight="1">
      <c r="A114" s="6" t="inlineStr">
        <is>
          <t>Cumulative E&amp;E spend on the project (m$)</t>
        </is>
      </c>
      <c r="B114" s="22" t="n">
        <v>18</v>
      </c>
      <c r="C114" s="2" t="inlineStr">
        <is>
          <t>m$</t>
        </is>
      </c>
      <c r="D114" s="23" t="inlineStr">
        <is>
          <t>Capitalised E&amp;E asset by property, or the sum of annual E&amp;E since acquisition, incl. acquisition cash.</t>
        </is>
      </c>
    </row>
    <row r="115" ht="17.5" customHeight="1">
      <c r="A115" s="6" t="inlineStr">
        <is>
          <t>Global ounces, M&amp;I + Inferred (koz)</t>
        </is>
      </c>
      <c r="B115" s="11" t="n">
        <v>600</v>
      </c>
      <c r="C115" s="2" t="inlineStr">
        <is>
          <t>koz</t>
        </is>
      </c>
      <c r="D115" s="23" t="inlineStr"/>
    </row>
    <row r="116" ht="17.5" customHeight="1">
      <c r="A116" s="6" t="inlineStr">
        <is>
          <t>Metres drilled on the deposit (m)</t>
        </is>
      </c>
      <c r="B116" s="11" t="n">
        <v>45000</v>
      </c>
      <c r="C116" s="2" t="inlineStr">
        <is>
          <t>m</t>
        </is>
      </c>
      <c r="D116" s="23" t="inlineStr">
        <is>
          <t>Technical report item 10.</t>
        </is>
      </c>
    </row>
    <row r="117" ht="17.5" customHeight="1">
      <c r="A117" s="6" t="inlineStr">
        <is>
          <t>Discovery cost (US$/oz)</t>
        </is>
      </c>
      <c r="B117" s="12">
        <f>IF(B115=0,0,B114*1000/B115)</f>
        <v/>
      </c>
      <c r="C117" s="2" t="inlineStr">
        <is>
          <t>US$/oz</t>
        </is>
      </c>
      <c r="D117" s="23" t="inlineStr">
        <is>
          <t>&lt; 20 outstanding; 20-50 good; 50-100 average; &gt; 100-150 poor.</t>
        </is>
      </c>
    </row>
    <row r="118" ht="31" customHeight="1">
      <c r="A118" s="6" t="inlineStr">
        <is>
          <t>Ounces per metre drilled (oz/m)</t>
        </is>
      </c>
      <c r="B118" s="24">
        <f>IF(B116=0,0,B115*1000/B116)</f>
        <v/>
      </c>
      <c r="C118" s="2" t="inlineStr">
        <is>
          <t>oz/m</t>
        </is>
      </c>
      <c r="D118" s="23" t="inlineStr">
        <is>
          <t>8-15 good; 3-5 industry-typical; &lt; 3 expensive; &gt; 25 with mostly Inferred = under-drilled.</t>
        </is>
      </c>
    </row>
    <row r="119"/>
    <row r="120">
      <c r="A120" s="5" t="inlineStr">
        <is>
          <t>12. Average GT versus best hole, and in-situ value (D-06)</t>
        </is>
      </c>
    </row>
    <row r="121" ht="31" customHeight="1">
      <c r="A121" s="6" t="inlineStr">
        <is>
          <t>Holes drilled in the programme, including NSI holes</t>
        </is>
      </c>
      <c r="B121" s="11" t="n">
        <v>20</v>
      </c>
      <c r="C121" s="2" t="inlineStr">
        <is>
          <t>#</t>
        </is>
      </c>
      <c r="D121" s="23" t="inlineStr">
        <is>
          <t>From the programme-end release.</t>
        </is>
      </c>
    </row>
    <row r="122" ht="17.5" customHeight="1">
      <c r="A122" s="6" t="inlineStr">
        <is>
          <t>Sum of best-interval GT over all holes (g/t x m)</t>
        </is>
      </c>
      <c r="B122" s="11" t="n">
        <v>380</v>
      </c>
      <c r="C122" s="2" t="inlineStr">
        <is>
          <t>g/t x m</t>
        </is>
      </c>
      <c r="D122" s="23" t="inlineStr">
        <is>
          <t>Add grade x true width of each hole's best interval; NSI holes count as zero.</t>
        </is>
      </c>
    </row>
    <row r="123" ht="17.5" customHeight="1">
      <c r="A123" s="6" t="inlineStr">
        <is>
          <t>Best-hole GT (g/t x m)</t>
        </is>
      </c>
      <c r="B123" s="11" t="n">
        <v>120</v>
      </c>
      <c r="C123" s="2" t="inlineStr">
        <is>
          <t>g/t x m</t>
        </is>
      </c>
      <c r="D123" s="23" t="inlineStr">
        <is>
          <t>D-02.</t>
        </is>
      </c>
    </row>
    <row r="124" ht="17.5" customHeight="1">
      <c r="A124" s="6" t="inlineStr">
        <is>
          <t>Average GT per hole (g/t x m)</t>
        </is>
      </c>
      <c r="B124" s="24">
        <f>IF(B121=0,0,B122/B121)</f>
        <v/>
      </c>
      <c r="C124" s="2" t="inlineStr">
        <is>
          <t>g/t x m</t>
        </is>
      </c>
      <c r="D124" s="23" t="inlineStr"/>
    </row>
    <row r="125" ht="17.5" customHeight="1">
      <c r="A125" s="6" t="inlineStr">
        <is>
          <t>Best hole / average GT</t>
        </is>
      </c>
      <c r="B125" s="24">
        <f>IF(B124=0,0,B123/B124)</f>
        <v/>
      </c>
      <c r="C125" s="2" t="inlineStr">
        <is>
          <t>x</t>
        </is>
      </c>
      <c r="D125" s="23" t="inlineStr">
        <is>
          <t>&gt; 5x = one lucky hole, not a system.</t>
        </is>
      </c>
    </row>
    <row r="126" ht="17.5" customHeight="1">
      <c r="A126" s="6" t="inlineStr">
        <is>
          <t>Grade for in-situ value (g/t Au)</t>
        </is>
      </c>
      <c r="B126" s="22" t="n">
        <v>1.5</v>
      </c>
      <c r="C126" s="2" t="inlineStr">
        <is>
          <t>g/t</t>
        </is>
      </c>
      <c r="D126" s="23" t="inlineStr">
        <is>
          <t>Average intercept grade (D-05).</t>
        </is>
      </c>
    </row>
    <row r="127" ht="17.5" customHeight="1">
      <c r="A127" s="6" t="inlineStr">
        <is>
          <t>Gold price (US$/oz)</t>
        </is>
      </c>
      <c r="B127" s="11">
        <f>'DD Questionnaire'!$E$12</f>
        <v/>
      </c>
      <c r="C127" s="2" t="inlineStr">
        <is>
          <t>US$/oz</t>
        </is>
      </c>
      <c r="D127" s="23" t="inlineStr">
        <is>
          <t>Base-case majors' reserve price, not spot.</t>
        </is>
      </c>
    </row>
    <row r="128" ht="17.5" customHeight="1">
      <c r="A128" s="6" t="inlineStr">
        <is>
          <t>Recovery (fraction)</t>
        </is>
      </c>
      <c r="B128" s="22" t="n">
        <v>0.9</v>
      </c>
      <c r="C128" s="2" t="inlineStr">
        <is>
          <t>x</t>
        </is>
      </c>
      <c r="D128" s="23" t="inlineStr">
        <is>
          <t>0.9 if unknown.</t>
        </is>
      </c>
    </row>
    <row r="129" ht="31" customHeight="1">
      <c r="A129" s="6" t="inlineStr">
        <is>
          <t>In-situ value (US$/t)</t>
        </is>
      </c>
      <c r="B129" s="24">
        <f>B126/31.1035*B127*B128</f>
        <v/>
      </c>
      <c r="C129" s="2" t="inlineStr">
        <is>
          <t>US$/t</t>
        </is>
      </c>
      <c r="D129" s="23" t="inlineStr">
        <is>
          <t>Needs more than US$60-80/t for open pit and more than US$150/t for underground (cost-side floors).</t>
        </is>
      </c>
    </row>
    <row r="130"/>
    <row r="131">
      <c r="A131" s="5" t="inlineStr">
        <is>
          <t>13. Programme throughput versus season and funding (E-01)</t>
        </is>
      </c>
    </row>
    <row r="132" ht="17.5" customHeight="1">
      <c r="A132" s="6" t="inlineStr">
        <is>
          <t>Planned metres</t>
        </is>
      </c>
      <c r="B132" s="11" t="n">
        <v>5000</v>
      </c>
      <c r="C132" s="2" t="inlineStr">
        <is>
          <t>m</t>
        </is>
      </c>
      <c r="D132" s="23" t="inlineStr">
        <is>
          <t>E-01.</t>
        </is>
      </c>
    </row>
    <row r="133" ht="17.5" customHeight="1">
      <c r="A133" s="6" t="inlineStr">
        <is>
          <t>Rigs on site</t>
        </is>
      </c>
      <c r="B133" s="11" t="n">
        <v>1</v>
      </c>
      <c r="C133" s="2" t="inlineStr">
        <is>
          <t>#</t>
        </is>
      </c>
      <c r="D133" s="23" t="inlineStr">
        <is>
          <t>S-17.</t>
        </is>
      </c>
    </row>
    <row r="134" ht="17.5" customHeight="1">
      <c r="A134" s="6" t="inlineStr">
        <is>
          <t>Metres per rig-month</t>
        </is>
      </c>
      <c r="B134" s="11" t="n">
        <v>1500</v>
      </c>
      <c r="C134" s="2" t="inlineStr">
        <is>
          <t>m</t>
        </is>
      </c>
      <c r="D134" s="23" t="inlineStr">
        <is>
          <t>Diamond ~1,000-2,000; RC ~3,000-6,000 (ground and depth dependent).</t>
        </is>
      </c>
    </row>
    <row r="135" ht="17.5" customHeight="1">
      <c r="A135" s="6" t="inlineStr">
        <is>
          <t>Months of season available</t>
        </is>
      </c>
      <c r="B135" s="22" t="n">
        <v>6</v>
      </c>
      <c r="C135" s="2" t="inlineStr">
        <is>
          <t>months</t>
        </is>
      </c>
      <c r="D135" s="23" t="inlineStr">
        <is>
          <t>S-09.</t>
        </is>
      </c>
    </row>
    <row r="136" ht="17.5" customHeight="1">
      <c r="A136" s="6" t="inlineStr">
        <is>
          <t>Months funded (runway from block 6)</t>
        </is>
      </c>
      <c r="B136" s="22">
        <f>B52</f>
        <v/>
      </c>
      <c r="C136" s="2" t="inlineStr">
        <is>
          <t>months</t>
        </is>
      </c>
      <c r="D136" s="23" t="inlineStr">
        <is>
          <t>F-03.</t>
        </is>
      </c>
    </row>
    <row r="137" ht="17.5" customHeight="1">
      <c r="A137" s="6" t="inlineStr">
        <is>
          <t>Months needed</t>
        </is>
      </c>
      <c r="B137" s="24">
        <f>IF(B133*B134=0,0,B132/(B133*B134))</f>
        <v/>
      </c>
      <c r="C137" s="2" t="inlineStr">
        <is>
          <t>months</t>
        </is>
      </c>
      <c r="D137" s="23" t="inlineStr">
        <is>
          <t>Formula: metres / (rigs x rate).</t>
        </is>
      </c>
    </row>
    <row r="138" ht="17.5" customHeight="1">
      <c r="A138" s="6" t="inlineStr">
        <is>
          <t>Fits the season?</t>
        </is>
      </c>
      <c r="B138" s="26">
        <f>IF(B137&lt;=B135,"Yes","No: metres will be cut or the programme spills into next season")</f>
        <v/>
      </c>
      <c r="C138" s="2" t="inlineStr"/>
      <c r="D138" s="23" t="inlineStr"/>
    </row>
    <row r="139" ht="17.5" customHeight="1">
      <c r="A139" s="6" t="inlineStr">
        <is>
          <t>Fits the funding?</t>
        </is>
      </c>
      <c r="B139" s="26">
        <f>IF(B137&lt;=B136,"Yes","No: a financing is needed before the programme ends")</f>
        <v/>
      </c>
      <c r="C139" s="2" t="inlineStr"/>
      <c r="D139" s="23" t="inlineStr"/>
    </row>
  </sheetData>
  <pageMargins left="0.75" right="0.75" top="1" bottom="1" header="0.5" footer="0.5"/>
</worksheet>
</file>

<file path=xl/worksheets/sheet6.xml><?xml version="1.0" encoding="utf-8"?>
<worksheet xmlns="http://schemas.openxmlformats.org/spreadsheetml/2006/main">
  <sheetPr>
    <tabColor rgb="009FB8C0"/>
    <outlinePr summaryBelow="1" summaryRight="1"/>
    <pageSetUpPr/>
  </sheetPr>
  <dimension ref="A1:B101"/>
  <sheetViews>
    <sheetView workbookViewId="0">
      <pane ySplit="3" topLeftCell="A4" activePane="bottomLeft" state="frozen"/>
      <selection pane="bottomLeft" activeCell="A1" sqref="A1"/>
    </sheetView>
  </sheetViews>
  <sheetFormatPr baseColWidth="8" defaultRowHeight="15"/>
  <cols>
    <col width="38" customWidth="1" min="1" max="1"/>
    <col width="120" customWidth="1" min="2" max="2"/>
  </cols>
  <sheetData>
    <row r="1">
      <c r="A1" s="1" t="inlineStr">
        <is>
          <t>Glossary</t>
        </is>
      </c>
    </row>
    <row r="2"/>
    <row r="3">
      <c r="A3" s="7" t="inlineStr">
        <is>
          <t>Term</t>
        </is>
      </c>
      <c r="B3" s="7" t="inlineStr">
        <is>
          <t>Meaning</t>
        </is>
      </c>
    </row>
    <row r="4" ht="31" customHeight="1">
      <c r="A4" s="27" t="inlineStr">
        <is>
          <t>AIF</t>
        </is>
      </c>
      <c r="B4" s="4" t="inlineStr">
        <is>
          <t>Annual Information Form: the Canadian annual filing with corporate history, properties, directors and legal proceedings (larger issuers; venture issuers may not file one).</t>
        </is>
      </c>
    </row>
    <row r="5" ht="31" customHeight="1">
      <c r="A5" s="27" t="inlineStr">
        <is>
          <t>AISC</t>
        </is>
      </c>
      <c r="B5" s="4" t="inlineStr">
        <is>
          <t>All-in sustaining cost per ounce: cash operating cost plus sustaining capital, royalties and site G&amp;A. Lower is better; compare with the gold price used in the study, not spot.</t>
        </is>
      </c>
    </row>
    <row r="6" ht="31" customHeight="1">
      <c r="A6" s="27" t="inlineStr">
        <is>
          <t>Alteration (potassic, phyllic, argillic, propylitic) / lithocap</t>
        </is>
      </c>
      <c r="B6" s="4" t="inlineStr">
        <is>
          <t>Mineral changes in the host rock caused by ore-forming fluids, zoned around a deposit. A lithocap is the clay-silica blanket above a porphyry system; it is large and usually barren.</t>
        </is>
      </c>
    </row>
    <row r="7" ht="31" customHeight="1">
      <c r="A7" s="27" t="inlineStr">
        <is>
          <t>Area-of-interest clause</t>
        </is>
      </c>
      <c r="B7" s="4" t="inlineStr">
        <is>
          <t>A clause giving the vendor the same royalty or terms on ground the company later acquires within a stated radius of the property.</t>
        </is>
      </c>
    </row>
    <row r="8" ht="31" customHeight="1">
      <c r="A8" s="27" t="inlineStr">
        <is>
          <t>Assessment files</t>
        </is>
      </c>
      <c r="B8" s="4" t="inlineStr">
        <is>
          <t>Exploration reports that prior owners had to file with a government to keep their claims (BC ARIS, Ontario AFRI, Quebec SIGEOM, WA WAMEX). Free record of what was already drilled.</t>
        </is>
      </c>
    </row>
    <row r="9" ht="31" customHeight="1">
      <c r="A9" s="27" t="inlineStr">
        <is>
          <t>Attributable interest</t>
        </is>
      </c>
      <c r="B9" s="4" t="inlineStr">
        <is>
          <t>The share of a project's ounces or cash flow that belongs to the company's shareholders after partner interests and state free carry.</t>
        </is>
      </c>
    </row>
    <row r="10" ht="31" customHeight="1">
      <c r="A10" s="27" t="inlineStr">
        <is>
          <t>Back-in right</t>
        </is>
      </c>
      <c r="B10" s="4" t="inlineStr">
        <is>
          <t>A vendor's or partner's right to buy back into a project after the company has spent money proving it up. Reduces the upside you own.</t>
        </is>
      </c>
    </row>
    <row r="11" ht="31" customHeight="1">
      <c r="A11" s="27" t="inlineStr">
        <is>
          <t>BIT / FIPA</t>
        </is>
      </c>
      <c r="B11" s="4" t="inlineStr">
        <is>
          <t>Bilateral investment treaty / foreign investment promotion and protection agreement: gives a foreign investor access to international arbitration after expropriation.</t>
        </is>
      </c>
    </row>
    <row r="12" ht="17.5" customHeight="1">
      <c r="A12" s="27" t="inlineStr">
        <is>
          <t>Block model</t>
        </is>
      </c>
      <c r="B12" s="4" t="inlineStr">
        <is>
          <t>The 3-D grid of blocks with estimated grade that underlies a resource estimate. Exists only once an MRE has been made.</t>
        </is>
      </c>
    </row>
    <row r="13" ht="31" customHeight="1">
      <c r="A13" s="27" t="inlineStr">
        <is>
          <t>Bottle roll test</t>
        </is>
      </c>
      <c r="B13" s="4" t="inlineStr">
        <is>
          <t>A bench-scale cyanide leach test on a small sample. More than 90% recovery = free-milling; below 80% = suspect refractory ore.</t>
        </is>
      </c>
    </row>
    <row r="14" ht="17.5" customHeight="1">
      <c r="A14" s="27" t="inlineStr">
        <is>
          <t>Capping / top-cut</t>
        </is>
      </c>
      <c r="B14" s="4" t="inlineStr">
        <is>
          <t>Limiting extreme high-grade assays before estimation so a few nuggety samples do not inflate the resource.</t>
        </is>
      </c>
    </row>
    <row r="15" ht="17.5" customHeight="1">
      <c r="A15" s="27" t="inlineStr">
        <is>
          <t>CCAA</t>
        </is>
      </c>
      <c r="B15" s="4" t="inlineStr">
        <is>
          <t>Companies' Creditors Arrangement Act: the Canadian court process for insolvent companies (creditor protection).</t>
        </is>
      </c>
    </row>
    <row r="16" ht="31" customHeight="1">
      <c r="A16" s="27" t="inlineStr">
        <is>
          <t>Cease-trade order (CTO / MCTO)</t>
        </is>
      </c>
      <c r="B16" s="4" t="inlineStr">
        <is>
          <t>A securities-commission order stopping trading in a company's shares. A management CTO usually means late filings; an enforcement CTO means misconduct.</t>
        </is>
      </c>
    </row>
    <row r="17" ht="17.5" customHeight="1">
      <c r="A17" s="27" t="inlineStr">
        <is>
          <t>CIL / CIP</t>
        </is>
      </c>
      <c r="B17" s="4" t="inlineStr">
        <is>
          <t>Carbon-in-leach / carbon-in-pulp: the standard cyanide-leach plant for free-milling gold ore.</t>
        </is>
      </c>
    </row>
    <row r="18" ht="31" customHeight="1">
      <c r="A18" s="27" t="inlineStr">
        <is>
          <t>Collar / downhole survey</t>
        </is>
      </c>
      <c r="B18" s="4" t="inlineStr">
        <is>
          <t>The collar is the hole's starting point at surface; downhole surveys measure how the hole deviates with depth. Both are needed to locate an intercept in 3-D.</t>
        </is>
      </c>
    </row>
    <row r="19" ht="31" customHeight="1">
      <c r="A19" s="27" t="inlineStr">
        <is>
          <t>CPC / RTO</t>
        </is>
      </c>
      <c r="B19" s="4" t="inlineStr">
        <is>
          <t>Capital pool company and reverse takeover: routes to a listing that reuse an existing shell. Not bad in themselves; shell recycling is.</t>
        </is>
      </c>
    </row>
    <row r="20" ht="17.5" customHeight="1">
      <c r="A20" s="27" t="inlineStr">
        <is>
          <t>CSE</t>
        </is>
      </c>
      <c r="B20" s="4" t="inlineStr">
        <is>
          <t>Canadian Securities Exchange: lighter listing requirements than the TSX-V and a higher share of promotion-driven names.</t>
        </is>
      </c>
    </row>
    <row r="21" ht="31" customHeight="1">
      <c r="A21" s="27" t="inlineStr">
        <is>
          <t>Cut-off grade</t>
        </is>
      </c>
      <c r="B21" s="4" t="inlineStr">
        <is>
          <t>The lowest grade included in a resource. Derived from price, cost and recovery; a very low cut-off inflates tonnes and ounces.</t>
        </is>
      </c>
    </row>
    <row r="22" ht="58" customHeight="1">
      <c r="A22" s="27" t="inlineStr">
        <is>
          <t>Deposit types (one line each)</t>
        </is>
      </c>
      <c r="B22" s="4" t="inlineStr">
        <is>
          <t>Porphyry: large, low-grade Cu-Au around an intrusion. Orogenic: gold in shear zones and quartz veins of old greenstone belts. Low-sulphidation epithermal: bonanza but narrow veins from near-surface hot springs. High-sulphidation epithermal: acid-altered, often refractory. Carlin: disseminated gold in carbonate rocks. Intrusion-related and skarn: gold around intrusions. VMS: seafloor base-metal sulphides. IOCG: iron-oxide copper-gold. See 'Ore Deposits 101' in Reference names.</t>
        </is>
      </c>
    </row>
    <row r="23" ht="44.5" customHeight="1">
      <c r="A23" s="27" t="inlineStr">
        <is>
          <t>Diagnostic leach / column leach / agglomeration / P80 / payability / treatment charge</t>
        </is>
      </c>
      <c r="B23" s="4" t="inlineStr">
        <is>
          <t>Metallurgical terms: a diagnostic leach shows where the gold is locked; column tests simulate heap leaching; agglomeration binds fines so heaps drain; P80 is the sieve size 80% of ground ore passes; payability and treatment charges are what a smelter pays and charges for concentrate.</t>
        </is>
      </c>
    </row>
    <row r="24" ht="31" customHeight="1">
      <c r="A24" s="27" t="inlineStr">
        <is>
          <t>Diamond (DD), RC, aircore / RAB</t>
        </is>
      </c>
      <c r="B24" s="4" t="inlineStr">
        <is>
          <t>Drilling methods. Diamond core gives structure, density and met samples; reverse circulation gives chips only; aircore and RAB are shallow first-pass tools.</t>
        </is>
      </c>
    </row>
    <row r="25" ht="31" customHeight="1">
      <c r="A25" s="27" t="inlineStr">
        <is>
          <t>Dilution (mining)</t>
        </is>
      </c>
      <c r="B25" s="4" t="inlineStr">
        <is>
          <t>Waste rock mined with the ore. Planned (inside the mining shape) and unplanned (overbreak). Lowers the head grade versus the resource grade.</t>
        </is>
      </c>
    </row>
    <row r="26" ht="17.5" customHeight="1">
      <c r="A26" s="27" t="inlineStr">
        <is>
          <t>Directors special</t>
        </is>
      </c>
      <c r="B26" s="4" t="inlineStr">
        <is>
          <t>Slang for a map that omits poor historical holes so the company's own drilling looks better.</t>
        </is>
      </c>
    </row>
    <row r="27" ht="17.5" customHeight="1">
      <c r="A27" s="27" t="inlineStr">
        <is>
          <t>E&amp;E</t>
        </is>
      </c>
      <c r="B27" s="4" t="inlineStr">
        <is>
          <t>Exploration and evaluation expenditure: money spent in the ground, as opposed to G&amp;A.</t>
        </is>
      </c>
    </row>
    <row r="28" ht="31" customHeight="1">
      <c r="A28" s="27" t="inlineStr">
        <is>
          <t>Early-warning report</t>
        </is>
      </c>
      <c r="B28" s="4" t="inlineStr">
        <is>
          <t>SEDAR+ filing required when a holder crosses 10% of a Canadian issuer (ASX substantial-holder notice above 5%; AIM above 3%). The only public record of holdings below insider level.</t>
        </is>
      </c>
    </row>
    <row r="29" ht="31" customHeight="1">
      <c r="A29" s="27" t="inlineStr">
        <is>
          <t>Earn-in / option</t>
        </is>
      </c>
      <c r="B29" s="4" t="inlineStr">
        <is>
          <t>An agreement under which the company earns an interest in a project by spending money on exploration and making payments to the vendor.</t>
        </is>
      </c>
    </row>
    <row r="30" ht="17.5" customHeight="1">
      <c r="A30" s="27" t="inlineStr">
        <is>
          <t>Enterprise value (EV)</t>
        </is>
      </c>
      <c r="B30" s="4" t="inlineStr">
        <is>
          <t>Market capitalisation plus debt and committed payments minus cash. The price the market puts on the assets themselves.</t>
        </is>
      </c>
    </row>
    <row r="31" ht="31" customHeight="1">
      <c r="A31" s="27" t="inlineStr">
        <is>
          <t>Escrow</t>
        </is>
      </c>
      <c r="B31" s="4" t="inlineStr">
        <is>
          <t>Shares held back from trading for a period after listing or vending a project; released in tranches over 18-36 months (TSX-V) or 12-24 months (ASX).</t>
        </is>
      </c>
    </row>
    <row r="32" ht="17.5" customHeight="1">
      <c r="A32" s="27" t="inlineStr">
        <is>
          <t>ESIA / EIA</t>
        </is>
      </c>
      <c r="B32" s="4" t="inlineStr">
        <is>
          <t>Environmental and social impact assessment required for a mining licence. Not expected at exploration stage.</t>
        </is>
      </c>
    </row>
    <row r="33" ht="17.5" customHeight="1">
      <c r="A33" s="27" t="inlineStr">
        <is>
          <t>ESTMA</t>
        </is>
      </c>
      <c r="B33" s="4" t="inlineStr">
        <is>
          <t>Canadian Extractive Sector Transparency Measures Act: annual public report of payments to governments by listed issuers.</t>
        </is>
      </c>
    </row>
    <row r="34" ht="31" customHeight="1">
      <c r="A34" s="27" t="inlineStr">
        <is>
          <t>Exploration Target (JORC)</t>
        </is>
      </c>
      <c r="B34" s="4" t="inlineStr">
        <is>
          <t>A stated range of tonnes and grade for a target that is not yet a resource; the range must be shown and cannot be quoted as ounces.</t>
        </is>
      </c>
    </row>
    <row r="35" ht="31" customHeight="1">
      <c r="A35" s="27" t="inlineStr">
        <is>
          <t>Fire assay / PhotonAssay / aqua regia / pXRF</t>
        </is>
      </c>
      <c r="B35" s="4" t="inlineStr">
        <is>
          <t>Fire assay (30 or 50 g) is the standard gold analysis; PhotonAssay analyses large samples for coarse gold; aqua regia is a partial digest; portable XRF is a field reading. Only the first two support a resource.</t>
        </is>
      </c>
    </row>
    <row r="36" ht="31" customHeight="1">
      <c r="A36" s="27" t="inlineStr">
        <is>
          <t>Flow-through shares</t>
        </is>
      </c>
      <c r="B36" s="4" t="inlineStr">
        <is>
          <t>Canadian shares whose exploration spending is tax-deductible for the buyer. Only for Canadian projects and Canadian taxpayers; 'charity' flow-through end buyers usually sell at the hold expiry.</t>
        </is>
      </c>
    </row>
    <row r="37" ht="31" customHeight="1">
      <c r="A37" s="27" t="inlineStr">
        <is>
          <t>FPIC / duty to consult</t>
        </is>
      </c>
      <c r="B37" s="4" t="inlineStr">
        <is>
          <t>Free, prior and informed consent of indigenous peoples (UNDRIP, ILO 169) and the Canadian Crown's duty to consult. Decides whether a permit can be issued.</t>
        </is>
      </c>
    </row>
    <row r="38" ht="31" customHeight="1">
      <c r="A38" s="27" t="inlineStr">
        <is>
          <t>Free carry</t>
        </is>
      </c>
      <c r="B38" s="4" t="inlineStr">
        <is>
          <t>An interest in a project that its holder does not have to fund. Statutory for the state in many African codes (normal); a private vendor free carry reduces your share.</t>
        </is>
      </c>
    </row>
    <row r="39" ht="17.5" customHeight="1">
      <c r="A39" s="27" t="inlineStr">
        <is>
          <t>Free float</t>
        </is>
      </c>
      <c r="B39" s="4" t="inlineStr">
        <is>
          <t>Shares not held by insiders, strategic holders or escrow: the shares that can actually trade.</t>
        </is>
      </c>
    </row>
    <row r="40" ht="31" customHeight="1">
      <c r="A40" s="27" t="inlineStr">
        <is>
          <t>Full / half warrant</t>
        </is>
      </c>
      <c r="B40" s="4" t="inlineStr">
        <is>
          <t>One (or half) a warrant per unit sold in a financing. Warrants let the buyer purchase more shares at a set price; more warrants = more dilution and overhang.</t>
        </is>
      </c>
    </row>
    <row r="41" ht="31" customHeight="1">
      <c r="A41" s="27" t="inlineStr">
        <is>
          <t>G&amp;A</t>
        </is>
      </c>
      <c r="B41" s="4" t="inlineStr">
        <is>
          <t>General and administrative costs: salaries, listing, audit, legal, investor relations, marketing. Money not going into the ground.</t>
        </is>
      </c>
    </row>
    <row r="42" ht="31" customHeight="1">
      <c r="A42" s="27" t="inlineStr">
        <is>
          <t>Going-concern emphasis</t>
        </is>
      </c>
      <c r="B42" s="4" t="inlineStr">
        <is>
          <t>Standard auditor wording for a company that depends on raising money to continue. Normal for explorers; a qualified or adverse opinion is not.</t>
        </is>
      </c>
    </row>
    <row r="43" ht="31" customHeight="1">
      <c r="A43" s="27" t="inlineStr">
        <is>
          <t>Grade-tonnage table</t>
        </is>
      </c>
      <c r="B43" s="4" t="inlineStr">
        <is>
          <t>A table in the technical report showing tonnes, grade and ounces at a range of cut-off grades. Shows how much of the resource survives a higher cut-off.</t>
        </is>
      </c>
    </row>
    <row r="44" ht="31" customHeight="1">
      <c r="A44" s="27" t="inlineStr">
        <is>
          <t>Gravity / radiometrics / CSAMT / SWIR</t>
        </is>
      </c>
      <c r="B44" s="4" t="inlineStr">
        <is>
          <t>Geophysical and spectral tools: gravity maps density, radiometrics maps potassium-thorium-uranium at surface, CSAMT maps resistivity to depth, SWIR spectrometers identify clay and mica alteration minerals.</t>
        </is>
      </c>
    </row>
    <row r="45" ht="31" customHeight="1">
      <c r="A45" s="27" t="inlineStr">
        <is>
          <t>GRG</t>
        </is>
      </c>
      <c r="B45" s="4" t="inlineStr">
        <is>
          <t>Gravity-recoverable gold: the share of gold that can be recovered by gravity alone (Knelson test). Cheap recovery, but coarse gold means nuggety assays.</t>
        </is>
      </c>
    </row>
    <row r="46" ht="31" customHeight="1">
      <c r="A46" s="27" t="inlineStr">
        <is>
          <t>GT (grade x thickness)</t>
        </is>
      </c>
      <c r="B46" s="4" t="inlineStr">
        <is>
          <t>Grade in g/t multiplied by the true width in metres of a drill intercept. The standard yardstick for comparing drill holes; calibrated for gold in this questionnaire.</t>
        </is>
      </c>
    </row>
    <row r="47" ht="31" customHeight="1">
      <c r="A47" s="27" t="inlineStr">
        <is>
          <t>Heap leach</t>
        </is>
      </c>
      <c r="B47" s="4" t="inlineStr">
        <is>
          <t>Low-cost processing where crushed oxide ore is stacked on a pad and irrigated with cyanide solution. Lower recovery than a mill; unsuitable for most sulphide ore.</t>
        </is>
      </c>
    </row>
    <row r="48" ht="17.5" customHeight="1">
      <c r="A48" s="27" t="inlineStr">
        <is>
          <t>Hold period (4 months + 1 day)</t>
        </is>
      </c>
      <c r="B48" s="4" t="inlineStr">
        <is>
          <t>The time Canadian private-placement shares cannot be traded (NI 45-102). Selling pressure often appears when it expires.</t>
        </is>
      </c>
    </row>
    <row r="49" ht="17.5" customHeight="1">
      <c r="A49" s="27" t="inlineStr">
        <is>
          <t>ILUA</t>
        </is>
      </c>
      <c r="B49" s="4" t="inlineStr">
        <is>
          <t>Indigenous land use agreement (Australia) between a company and native-title holders.</t>
        </is>
      </c>
    </row>
    <row r="50" ht="31" customHeight="1">
      <c r="A50" s="27" t="inlineStr">
        <is>
          <t>'Including' interval</t>
        </is>
      </c>
      <c r="B50" s="4" t="inlineStr">
        <is>
          <t>The high-grade sub-interval quoted inside a longer intercept. If most of the metal sits in it, the long interval is a narrow vein dressed up as bulk tonnage.</t>
        </is>
      </c>
    </row>
    <row r="51" ht="31" customHeight="1">
      <c r="A51" s="27" t="inlineStr">
        <is>
          <t>Inferred / Indicated / Measured</t>
        </is>
      </c>
      <c r="B51" s="4" t="inlineStr">
        <is>
          <t>Resource confidence categories from lowest to highest. Only Measured and Indicated (M&amp;I) can become reserves; Inferred cannot support a feasibility study.</t>
        </is>
      </c>
    </row>
    <row r="52" ht="31" customHeight="1">
      <c r="A52" s="27" t="inlineStr">
        <is>
          <t>Internal dilution (drill intercept)</t>
        </is>
      </c>
      <c r="B52" s="4" t="inlineStr">
        <is>
          <t>Low-grade or barren metres included inside a reported drill interval to make it longer. The footnote states the maximum allowed; more than 3 m is suspicious in vein systems.</t>
        </is>
      </c>
    </row>
    <row r="53" ht="31" customHeight="1">
      <c r="A53" s="27" t="inlineStr">
        <is>
          <t>IP / EM / magnetics</t>
        </is>
      </c>
      <c r="B53" s="4" t="inlineStr">
        <is>
          <t>Geophysical methods: induced polarisation detects disseminated sulphides; electromagnetics detects conductive massive sulphides; magnetics maps structure and magnetic rocks.</t>
        </is>
      </c>
    </row>
    <row r="54" ht="31" customHeight="1">
      <c r="A54" s="27" t="inlineStr">
        <is>
          <t>LIFE financing</t>
        </is>
      </c>
      <c r="B54" s="4" t="inlineStr">
        <is>
          <t>Listed issuer financing exemption (Canada): placement shares that are free-trading immediately, so no hold period protects the price.</t>
        </is>
      </c>
    </row>
    <row r="55" ht="31" customHeight="1">
      <c r="A55" s="27" t="inlineStr">
        <is>
          <t>Longhole / sub-level caving / gravity-flow stoping</t>
        </is>
      </c>
      <c r="B55" s="4" t="inlineStr">
        <is>
          <t>Underground bulk-mining methods that let broken ore fall to draw points; they need steep, thick bodies. Narrow flat veins need slower, costlier methods.</t>
        </is>
      </c>
    </row>
    <row r="56" ht="31" customHeight="1">
      <c r="A56" s="27" t="inlineStr">
        <is>
          <t>MD&amp;A</t>
        </is>
      </c>
      <c r="B56" s="4" t="inlineStr">
        <is>
          <t>Management's discussion and analysis: the quarterly narrative filed with the financial statements; contains 'Outstanding share data' and 'Liquidity'.</t>
        </is>
      </c>
    </row>
    <row r="57" ht="31" customHeight="1">
      <c r="A57" s="27" t="inlineStr">
        <is>
          <t>Metal equivalent (AuEq, CuEq)</t>
        </is>
      </c>
      <c r="B57" s="4" t="inlineStr">
        <is>
          <t>Several metals expressed as one, using assumed prices, recoveries and payability. Check the assumptions before comparing.</t>
        </is>
      </c>
    </row>
    <row r="58" ht="31" customHeight="1">
      <c r="A58" s="27" t="inlineStr">
        <is>
          <t>MIC (management information circular)</t>
        </is>
      </c>
      <c r="B58" s="4" t="inlineStr">
        <is>
          <t>The document sent before the annual meeting: executive compensation, options, board independence, principal shareholders.</t>
        </is>
      </c>
    </row>
    <row r="59" ht="31" customHeight="1">
      <c r="A59" s="27" t="inlineStr">
        <is>
          <t>Mining cadastre</t>
        </is>
      </c>
      <c r="B59" s="4" t="inlineStr">
        <is>
          <t>The government register and map of mineral titles. The only place to verify who holds a licence and whether it is granted or merely applied for.</t>
        </is>
      </c>
    </row>
    <row r="60" ht="31" customHeight="1">
      <c r="A60" s="27" t="inlineStr">
        <is>
          <t>MRE</t>
        </is>
      </c>
      <c r="B60" s="4" t="inlineStr">
        <is>
          <t>Mineral resource estimate: a code-compliant statement of tonnes, grade and ounces by confidence category, signed by a QP.</t>
        </is>
      </c>
    </row>
    <row r="61" ht="31" customHeight="1">
      <c r="A61" s="27" t="inlineStr">
        <is>
          <t>NI 43-101 / JORC / S-K 1300</t>
        </is>
      </c>
      <c r="B61" s="4" t="inlineStr">
        <is>
          <t>The Canadian, Australasian and US disclosure codes for mineral projects. A technical report under one of them is the only document a QP signs off.</t>
        </is>
      </c>
    </row>
    <row r="62" ht="31" customHeight="1">
      <c r="A62" s="27" t="inlineStr">
        <is>
          <t>NPV / IRR / payback</t>
        </is>
      </c>
      <c r="B62" s="4" t="inlineStr">
        <is>
          <t>Net present value, internal rate of return and years to recover initial capital: the three headline economics of a study. Always read them with the gold price and tax basis used.</t>
        </is>
      </c>
    </row>
    <row r="63" ht="31" customHeight="1">
      <c r="A63" s="27" t="inlineStr">
        <is>
          <t>NSI</t>
        </is>
      </c>
      <c r="B63" s="4" t="inlineStr">
        <is>
          <t>No significant intercept: a hole that hit nothing worth reporting. A company that omits NSI holes from its tables and maps is hiding failures.</t>
        </is>
      </c>
    </row>
    <row r="64" ht="31" customHeight="1">
      <c r="A64" s="27" t="inlineStr">
        <is>
          <t>NSR / GRR</t>
        </is>
      </c>
      <c r="B64" s="4" t="inlineStr">
        <is>
          <t>Net smelter return / gross revenue royalty: a percentage of revenue paid to a royalty holder before shareholders see anything.</t>
        </is>
      </c>
    </row>
    <row r="65" ht="17.5" customHeight="1">
      <c r="A65" s="27" t="inlineStr">
        <is>
          <t>Nugget effect</t>
        </is>
      </c>
      <c r="B65" s="4" t="inlineStr">
        <is>
          <t>Grade variability from coarse gold: adjacent samples differ wildly, so estimates need capping and larger samples.</t>
        </is>
      </c>
    </row>
    <row r="66" ht="17.5" customHeight="1">
      <c r="A66" s="27" t="inlineStr">
        <is>
          <t>Overhang</t>
        </is>
      </c>
      <c r="B66" s="4" t="inlineStr">
        <is>
          <t>Shares that can come onto the market from warrants, options, escrow releases or hold-period expiries, capping the price.</t>
        </is>
      </c>
    </row>
    <row r="67" ht="31" customHeight="1">
      <c r="A67" s="27" t="inlineStr">
        <is>
          <t>Pathfinder elements</t>
        </is>
      </c>
      <c r="B67" s="4" t="inlineStr">
        <is>
          <t>Trace elements (As, Sb, Hg, Tl, Bi, Te, W) that travel with gold and identify the deposit type and the level in the system.</t>
        </is>
      </c>
    </row>
    <row r="68" ht="31" customHeight="1">
      <c r="A68" s="27" t="inlineStr">
        <is>
          <t>PEA / PFS / FS</t>
        </is>
      </c>
      <c r="B68" s="4" t="inlineStr">
        <is>
          <t>Preliminary economic assessment, pre-feasibility study, feasibility study: increasing levels of engineering and confidence in a project's economics.</t>
        </is>
      </c>
    </row>
    <row r="69" ht="31" customHeight="1">
      <c r="A69" s="27" t="inlineStr">
        <is>
          <t>Pit shell</t>
        </is>
      </c>
      <c r="B69" s="4" t="inlineStr">
        <is>
          <t>The optimised open-pit outline at a given gold price and cost set. A resource 'constrained' by a pit shell counts only ounces inside it.</t>
        </is>
      </c>
    </row>
    <row r="70" ht="31" customHeight="1">
      <c r="A70" s="27" t="inlineStr">
        <is>
          <t>POX / BIOX / roasting / Albion</t>
        </is>
      </c>
      <c r="B70" s="4" t="inlineStr">
        <is>
          <t>Pre-treatment routes for refractory ore: pressure oxidation, bacterial oxidation, roasting and ultrafine grinding with oxidation. All cost far more than a simple leach.</t>
        </is>
      </c>
    </row>
    <row r="71" ht="31" customHeight="1">
      <c r="A71" s="27" t="inlineStr">
        <is>
          <t>PPI (Fraser Institute)</t>
        </is>
      </c>
      <c r="B71" s="4" t="inlineStr">
        <is>
          <t>Policy Perception Index: the policy-only ranking of mining jurisdictions in the Fraser Institute survey; the Investment Attractiveness Index blends in geology.</t>
        </is>
      </c>
    </row>
    <row r="72" ht="17.5" customHeight="1">
      <c r="A72" s="27" t="inlineStr">
        <is>
          <t>Preg-robbing</t>
        </is>
      </c>
      <c r="B72" s="4" t="inlineStr">
        <is>
          <t>Carbonaceous material in the ore that absorbs dissolved gold during leaching, lowering recovery.</t>
        </is>
      </c>
    </row>
    <row r="73" ht="17.5" customHeight="1">
      <c r="A73" s="27" t="inlineStr">
        <is>
          <t>Pushback / starter pit</t>
        </is>
      </c>
      <c r="B73" s="4" t="inlineStr">
        <is>
          <t>Phases of an open pit. A starter pit on the high-grade core shortens payback; later pushbacks carry the strip.</t>
        </is>
      </c>
    </row>
    <row r="74" ht="44.5" customHeight="1">
      <c r="A74" s="27" t="inlineStr">
        <is>
          <t>QA/QC (CRM, blank, duplicate, umpire) / salting</t>
        </is>
      </c>
      <c r="B74" s="4" t="inlineStr">
        <is>
          <t>Quality control samples inserted with the drill samples: certified reference materials check accuracy, blanks check contamination, duplicates check precision, umpire assays repeat samples at a second lab. Salting is adding gold to samples; QA/QC is the defence.</t>
        </is>
      </c>
    </row>
    <row r="75" ht="17.5" customHeight="1">
      <c r="A75" s="27" t="inlineStr">
        <is>
          <t>QP / CP</t>
        </is>
      </c>
      <c r="B75" s="4" t="inlineStr">
        <is>
          <t>Qualified person (NI 43-101) or competent person (JORC): the accredited professional who signs technical disclosure.</t>
        </is>
      </c>
    </row>
    <row r="76" ht="31" customHeight="1">
      <c r="A76" s="27" t="inlineStr">
        <is>
          <t>Reclamation bond / decommissioning provision / ARD</t>
        </is>
      </c>
      <c r="B76" s="4" t="inlineStr">
        <is>
          <t>The cash or guarantee lodged with the regulator for site clean-up; the balance-sheet provision for closure; acid rock drainage, the long-term water problem from sulphide waste.</t>
        </is>
      </c>
    </row>
    <row r="77" ht="31" customHeight="1">
      <c r="A77" s="27" t="inlineStr">
        <is>
          <t>Refractory ore</t>
        </is>
      </c>
      <c r="B77" s="4" t="inlineStr">
        <is>
          <t>Ore from which gold cannot be recovered by simple cyanidation because it is locked in sulphides or robbed by carbon. Needs costly pre-treatment.</t>
        </is>
      </c>
    </row>
    <row r="78" ht="44.5" customHeight="1">
      <c r="A78" s="27" t="inlineStr">
        <is>
          <t>Regolith / saprolite / laterite / supergene</t>
        </is>
      </c>
      <c r="B78" s="4" t="inlineStr">
        <is>
          <t>The weathered layer above fresh rock: saprolite is soft clay-rich weathered rock, laterite the iron-rich crust in the tropics. Supergene processes redistribute gold near surface, so surface grades may not represent the primary ore. Residual regolith can be soil-sampled; transported cover cannot.</t>
        </is>
      </c>
    </row>
    <row r="79" ht="31" customHeight="1">
      <c r="A79" s="27" t="inlineStr">
        <is>
          <t>ROFR</t>
        </is>
      </c>
      <c r="B79" s="4" t="inlineStr">
        <is>
          <t>Right of first refusal: a strategic shareholder's right to match any offer for the company or project. Deters other bidders.</t>
        </is>
      </c>
    </row>
    <row r="80" ht="31" customHeight="1">
      <c r="A80" s="27" t="inlineStr">
        <is>
          <t>RPEEE</t>
        </is>
      </c>
      <c r="B80" s="4" t="inlineStr">
        <is>
          <t>Reasonable prospects for eventual economic extraction: the test a resource must pass; underground resources need a cut-off that reflects underground costs.</t>
        </is>
      </c>
    </row>
    <row r="81" ht="31" customHeight="1">
      <c r="A81" s="27" t="inlineStr">
        <is>
          <t>RQD</t>
        </is>
      </c>
      <c r="B81" s="4" t="inlineStr">
        <is>
          <t>Rock quality designation: the share of drill core recovered in pieces longer than 10 cm. Low values mean broken ground: unreliable grades now, costly support later.</t>
        </is>
      </c>
    </row>
    <row r="82" ht="31" customHeight="1">
      <c r="A82" s="27" t="inlineStr">
        <is>
          <t>RSU / DSU / PSU</t>
        </is>
      </c>
      <c r="B82" s="4" t="inlineStr">
        <is>
          <t>Restricted, deferred and performance share units: share-based pay granted alongside options and counted in the dilutive overhang.</t>
        </is>
      </c>
    </row>
    <row r="83" ht="17.5" customHeight="1">
      <c r="A83" s="27" t="inlineStr">
        <is>
          <t>Runway</t>
        </is>
      </c>
      <c r="B83" s="4" t="inlineStr">
        <is>
          <t>Months of spending the company can fund from working capital before it must raise money.</t>
        </is>
      </c>
    </row>
    <row r="84" ht="31" customHeight="1">
      <c r="A84" s="27" t="inlineStr">
        <is>
          <t>Screen fire assay</t>
        </is>
      </c>
      <c r="B84" s="4" t="inlineStr">
        <is>
          <t>An assay method for coarse gold that analyses the whole sample rather than a small split; needed where visible gold occurs.</t>
        </is>
      </c>
    </row>
    <row r="85" ht="31" customHeight="1">
      <c r="A85" s="27" t="inlineStr">
        <is>
          <t>SEDAR+ / SEDI</t>
        </is>
      </c>
      <c r="B85" s="4" t="inlineStr">
        <is>
          <t>SEDAR+ (sedarplus.ca) holds Canadian company filings; SEDI (sedi.ca) holds insider trades. CEO.ca and canadianinsider.com aggregate SEDI.</t>
        </is>
      </c>
    </row>
    <row r="86" ht="31" customHeight="1">
      <c r="A86" s="27" t="inlineStr">
        <is>
          <t>Sinter / chalcedony / jasperoid / vuggy silica</t>
        </is>
      </c>
      <c r="B86" s="4" t="inlineStr">
        <is>
          <t>Surface signatures: sinter and chalcedony mark the top of a low-sulphidation epithermal system; jasperoid (silicified carbonate rock) marks Carlin-type systems; vuggy silica marks high-sulphidation epithermal systems.</t>
        </is>
      </c>
    </row>
    <row r="87" ht="31" customHeight="1">
      <c r="A87" s="27" t="inlineStr">
        <is>
          <t>Sovereign rating / FATF grey list</t>
        </is>
      </c>
      <c r="B87" s="4" t="inlineStr">
        <is>
          <t>Credit-rating agencies grade governments (below B- is distressed); the FATF grey list names countries under increased monitoring for money-laundering controls. Both predict fiscal and regulatory shocks.</t>
        </is>
      </c>
    </row>
    <row r="88" ht="31" customHeight="1">
      <c r="A88" s="27" t="inlineStr">
        <is>
          <t>Standstill / anti-dilution / offtake rights</t>
        </is>
      </c>
      <c r="B88" s="4" t="inlineStr">
        <is>
          <t>Rights a strategic shareholder negotiates: not to bid without consent, to keep its percentage in future financings, or to buy the product. They protect the strategic, not you, and deter other bidders.</t>
        </is>
      </c>
    </row>
    <row r="89" ht="31" customHeight="1">
      <c r="A89" s="27" t="inlineStr">
        <is>
          <t>Step-out / infill / twin / scout holes</t>
        </is>
      </c>
      <c r="B89" s="4" t="inlineStr">
        <is>
          <t>Step-out holes test the extension of a known zone; infill holes tighten the spacing to raise confidence; twin holes are drilled next to old holes to verify them; scout holes are first tests of a target.</t>
        </is>
      </c>
    </row>
    <row r="90" ht="31" customHeight="1">
      <c r="A90" s="27" t="inlineStr">
        <is>
          <t>Stream (streaming)</t>
        </is>
      </c>
      <c r="B90" s="4" t="inlineStr">
        <is>
          <t>An upfront payment for the right to buy a share of future gold at a fixed low price. Heavier than an NSR royalty and hard to remove.</t>
        </is>
      </c>
    </row>
    <row r="91" ht="31" customHeight="1">
      <c r="A91" s="27" t="inlineStr">
        <is>
          <t>Strike / dip / plunge / ore shoot</t>
        </is>
      </c>
      <c r="B91" s="4" t="inlineStr">
        <is>
          <t>Strike is the horizontal direction of a mineralised zone, dip its angle from horizontal, plunge the direction a high-grade zone (ore shoot) dives. 'Along strike' and 'down dip' describe where extensions are drilled.</t>
        </is>
      </c>
    </row>
    <row r="92" ht="17.5" customHeight="1">
      <c r="A92" s="27" t="inlineStr">
        <is>
          <t>Strip ratio</t>
        </is>
      </c>
      <c r="B92" s="4" t="inlineStr">
        <is>
          <t>Tonnes of waste mined per tonne of ore in an open pit. Higher = more cost per ounce.</t>
        </is>
      </c>
    </row>
    <row r="93" ht="31" customHeight="1">
      <c r="A93" s="27" t="inlineStr">
        <is>
          <t>Tier-one deposit</t>
        </is>
      </c>
      <c r="B93" s="4" t="inlineStr">
        <is>
          <t>Industry shorthand: above 5 Moz, above 300-500 koz per year (Newmont's published definition uses 500), lowest-half cost curve, more than 10 years of life.</t>
        </is>
      </c>
    </row>
    <row r="94" ht="31" customHeight="1">
      <c r="A94" s="27" t="inlineStr">
        <is>
          <t>True width</t>
        </is>
      </c>
      <c r="B94" s="4" t="inlineStr">
        <is>
          <t>The thickness of a mineralised zone measured perpendicular to it. Drill intercepts are longer than true width unless the hole crosses the zone at 90 degrees.</t>
        </is>
      </c>
    </row>
    <row r="95" ht="31" customHeight="1">
      <c r="A95" s="27" t="inlineStr">
        <is>
          <t>TSX-V Tier 1 / Tier 2; OTCQB / OTC Pink</t>
        </is>
      </c>
      <c r="B95" s="4" t="inlineStr">
        <is>
          <t>TSX-V tiers by size and financial standing (Tier 1 stricter). OTCQB and OTC Pink are US over-the-counter quotation tiers, not listings.</t>
        </is>
      </c>
    </row>
    <row r="96" ht="31" customHeight="1">
      <c r="A96" s="27" t="inlineStr">
        <is>
          <t>Unit / broker warrant / finder fee</t>
        </is>
      </c>
      <c r="B96" s="4" t="inlineStr">
        <is>
          <t>A placement 'unit' is one share plus a fraction of a warrant. Brokers and finders are paid cash fees and 'broker warrants' for placing the deal; both add to the overhang.</t>
        </is>
      </c>
    </row>
    <row r="97" ht="17.5" customHeight="1">
      <c r="A97" s="27" t="inlineStr">
        <is>
          <t>Units: Moz, koz, Mt, g/t, t/m3</t>
        </is>
      </c>
      <c r="B97" s="4" t="inlineStr">
        <is>
          <t>Million ounces, thousand ounces, million tonnes, grams per tonne, tonnes per cubic metre. 31.1035 grams = 1 troy ounce.</t>
        </is>
      </c>
    </row>
    <row r="98" ht="44.5" customHeight="1">
      <c r="A98" s="27" t="inlineStr">
        <is>
          <t>Variogram / kriging / inverse distance / parent block / grade shell</t>
        </is>
      </c>
      <c r="B98" s="4" t="inlineStr">
        <is>
          <t>Estimation terms from the technical report: the variogram measures grade continuity between holes; kriging and inverse distance are estimation methods; the parent block is the basic block size; a grade shell is a domain drawn on grade alone rather than geology.</t>
        </is>
      </c>
    </row>
    <row r="99" ht="17.5" customHeight="1">
      <c r="A99" s="27" t="inlineStr">
        <is>
          <t>VWAP</t>
        </is>
      </c>
      <c r="B99" s="4" t="inlineStr">
        <is>
          <t>Volume-weighted average price; financings are priced at a discount to it. Repeated maximum discounts signal weak demand.</t>
        </is>
      </c>
    </row>
    <row r="100" ht="17.5" customHeight="1">
      <c r="A100" s="27" t="inlineStr">
        <is>
          <t>Warrant clipping</t>
        </is>
      </c>
      <c r="B100" s="4" t="inlineStr">
        <is>
          <t>Selling the shares from a financing unit while keeping the free warrant; a source of post-placement selling pressure.</t>
        </is>
      </c>
    </row>
    <row r="101" ht="17.5" customHeight="1">
      <c r="A101" s="27" t="inlineStr">
        <is>
          <t>Working capital</t>
        </is>
      </c>
      <c r="B101" s="4" t="inlineStr">
        <is>
          <t>Cash and receivables minus payables and other current liabilities; the honest measure of what can be spent.</t>
        </is>
      </c>
    </row>
  </sheetData>
  <pageMargins left="0.75" right="0.75" top="1" bottom="1" header="0.5" footer="0.5"/>
</worksheet>
</file>

<file path=xl/worksheets/sheet7.xml><?xml version="1.0" encoding="utf-8"?>
<worksheet xmlns="http://schemas.openxmlformats.org/spreadsheetml/2006/main">
  <sheetPr>
    <tabColor rgb="009FB8C0"/>
    <outlinePr summaryBelow="1" summaryRight="1"/>
    <pageSetUpPr/>
  </sheetPr>
  <dimension ref="A1:A83"/>
  <sheetViews>
    <sheetView workbookViewId="0">
      <selection activeCell="A1" sqref="A1"/>
    </sheetView>
  </sheetViews>
  <sheetFormatPr baseColWidth="8" defaultRowHeight="15"/>
  <cols>
    <col width="140" customWidth="1" min="1" max="1"/>
  </cols>
  <sheetData>
    <row r="1">
      <c r="A1" s="1" t="inlineStr">
        <is>
          <t>Reference names (as of September 2026)</t>
        </is>
      </c>
    </row>
    <row r="2" ht="30" customHeight="1">
      <c r="A2" s="23" t="inlineStr">
        <is>
          <t>Lists age quickly. A name on a slide is not proof of a holding: verify on SEDI, early-warning reports, ASX substantial-holder notices or the financing news release. Names appear here for identification only; coverage models are taken from the outlets' own disclosures at the date above.</t>
        </is>
      </c>
    </row>
    <row r="3"/>
    <row r="4" ht="31" customHeight="1">
      <c r="A4" s="28" t="inlineStr">
        <is>
          <t>Independent anchor investors (examples; affiliations as the author understood them in September 2026; verify each holding on SEDI, early-warning reports or ASX notices)</t>
        </is>
      </c>
    </row>
    <row r="5" ht="17.5" customHeight="1">
      <c r="A5" s="4" t="inlineStr">
        <is>
          <t>Ross Beaty</t>
        </is>
      </c>
    </row>
    <row r="6" ht="17.5" customHeight="1">
      <c r="A6" s="4" t="inlineStr">
        <is>
          <t>Pierre Lassonde</t>
        </is>
      </c>
    </row>
    <row r="7" ht="17.5" customHeight="1">
      <c r="A7" s="4" t="inlineStr">
        <is>
          <t>Frank Giustra</t>
        </is>
      </c>
    </row>
    <row r="8" ht="17.5" customHeight="1">
      <c r="A8" s="4" t="inlineStr">
        <is>
          <t>Eric Sprott (personal holdings; distinct from Sprott Inc. funds)</t>
        </is>
      </c>
    </row>
    <row r="9" ht="17.5" customHeight="1">
      <c r="A9" s="4" t="inlineStr">
        <is>
          <t>Rob McEwen</t>
        </is>
      </c>
    </row>
    <row r="10" ht="17.5" customHeight="1">
      <c r="A10" s="4" t="inlineStr">
        <is>
          <t>Richard Warke</t>
        </is>
      </c>
    </row>
    <row r="11" ht="17.5" customHeight="1">
      <c r="A11" s="4" t="inlineStr">
        <is>
          <t>Mark Creasy (ASX)</t>
        </is>
      </c>
    </row>
    <row r="12" ht="17.5" customHeight="1">
      <c r="A12" s="4" t="inlineStr">
        <is>
          <t>Bob Quartermain</t>
        </is>
      </c>
    </row>
    <row r="13" ht="17.5" customHeight="1">
      <c r="A13" s="4" t="inlineStr">
        <is>
          <t>Keith Neumeyer</t>
        </is>
      </c>
    </row>
    <row r="14" ht="17.5" customHeight="1">
      <c r="A14" s="4" t="inlineStr">
        <is>
          <t>Paul Matysek</t>
        </is>
      </c>
    </row>
    <row r="15" ht="17.5" customHeight="1">
      <c r="A15" s="4" t="inlineStr">
        <is>
          <t>Rick Rule (Rule Investment Media)</t>
        </is>
      </c>
    </row>
    <row r="16" ht="17.5" customHeight="1">
      <c r="A16" s="4" t="inlineStr">
        <is>
          <t>Ian Telfer</t>
        </is>
      </c>
    </row>
    <row r="17" ht="17.5" customHeight="1">
      <c r="A17" s="4" t="inlineStr">
        <is>
          <t>Lundin family / Lundin Group</t>
        </is>
      </c>
    </row>
    <row r="18"/>
    <row r="19" ht="17.5" customHeight="1">
      <c r="A19" s="28" t="inlineStr">
        <is>
          <t>Founder and group principals (their own vehicles: not independent anchors; use as 'known operator' names)</t>
        </is>
      </c>
    </row>
    <row r="20" ht="17.5" customHeight="1">
      <c r="A20" s="4" t="inlineStr">
        <is>
          <t>Michael Konnert and Craig Parry (Inventa Capital)</t>
        </is>
      </c>
    </row>
    <row r="21" ht="17.5" customHeight="1">
      <c r="A21" s="4" t="inlineStr">
        <is>
          <t>Bryan Slusarchuk (K92 co-founder)</t>
        </is>
      </c>
    </row>
    <row r="22" ht="17.5" customHeight="1">
      <c r="A22" s="4" t="inlineStr">
        <is>
          <t>Sean Zubick and Collin Kettell (Palisades Goldcorp)</t>
        </is>
      </c>
    </row>
    <row r="23" ht="17.5" customHeight="1">
      <c r="A23" s="4" t="inlineStr">
        <is>
          <t>Sean Roosen (Osisko)</t>
        </is>
      </c>
    </row>
    <row r="24" ht="17.5" customHeight="1">
      <c r="A24" s="4" t="inlineStr">
        <is>
          <t>Clive Johnson (B2Gold)</t>
        </is>
      </c>
    </row>
    <row r="25" ht="17.5" customHeight="1">
      <c r="A25" s="4" t="inlineStr">
        <is>
          <t>Heye Daun (Koryx Copper)</t>
        </is>
      </c>
    </row>
    <row r="26" ht="17.5" customHeight="1">
      <c r="A26" s="4" t="inlineStr">
        <is>
          <t>George Ogilvie (mine builder: Kirkland Lake, Battle North)</t>
        </is>
      </c>
    </row>
    <row r="27" ht="17.5" customHeight="1">
      <c r="A27" s="4" t="inlineStr">
        <is>
          <t>John Robins (Discovery Group)</t>
        </is>
      </c>
    </row>
    <row r="28" ht="17.5" customHeight="1">
      <c r="A28" s="4" t="inlineStr">
        <is>
          <t>Brandon Macdonald (Fireweed)</t>
        </is>
      </c>
    </row>
    <row r="29" ht="17.5" customHeight="1">
      <c r="A29" s="4" t="inlineStr">
        <is>
          <t>Ron Netolitzky</t>
        </is>
      </c>
    </row>
    <row r="30" ht="17.5" customHeight="1">
      <c r="A30" s="4" t="inlineStr">
        <is>
          <t>Dave Cole (EMX)</t>
        </is>
      </c>
    </row>
    <row r="31" ht="17.5" customHeight="1">
      <c r="A31" s="4" t="inlineStr">
        <is>
          <t>Stephen Stewart (Ore Group)</t>
        </is>
      </c>
    </row>
    <row r="32"/>
    <row r="33" ht="17.5" customHeight="1">
      <c r="A33" s="28" t="inlineStr">
        <is>
          <t>Early-stage specialist investors (expected on an explorer's register)</t>
        </is>
      </c>
    </row>
    <row r="34" ht="17.5" customHeight="1">
      <c r="A34" s="4" t="inlineStr">
        <is>
          <t>Palisades Goldcorp</t>
        </is>
      </c>
    </row>
    <row r="35" ht="17.5" customHeight="1">
      <c r="A35" s="4" t="inlineStr">
        <is>
          <t>Crescat Capital</t>
        </is>
      </c>
    </row>
    <row r="36" ht="17.5" customHeight="1">
      <c r="A36" s="4" t="inlineStr">
        <is>
          <t>Commodity Discovery Fund (Netherlands)</t>
        </is>
      </c>
    </row>
    <row r="37" ht="17.5" customHeight="1">
      <c r="A37" s="4" t="inlineStr">
        <is>
          <t>Commodity Capital AG (Germany)</t>
        </is>
      </c>
    </row>
    <row r="38" ht="17.5" customHeight="1">
      <c r="A38" s="4" t="inlineStr">
        <is>
          <t>GOLD 2000 Ltd (Konwave AG, Switzerland)</t>
        </is>
      </c>
    </row>
    <row r="39" ht="17.5" customHeight="1">
      <c r="A39" s="4" t="inlineStr">
        <is>
          <t>Adrian Day Asset Management</t>
        </is>
      </c>
    </row>
    <row r="40" ht="17.5" customHeight="1">
      <c r="A40" s="4" t="inlineStr">
        <is>
          <t>Pathway Capital</t>
        </is>
      </c>
    </row>
    <row r="41" ht="17.5" customHeight="1">
      <c r="A41" s="4" t="inlineStr">
        <is>
          <t>Sprott Asset Management funds</t>
        </is>
      </c>
    </row>
    <row r="42" ht="17.5" customHeight="1">
      <c r="A42" s="4" t="inlineStr">
        <is>
          <t>VanEck active gold funds (GDXJ/GOEX holdings are passive index positions)</t>
        </is>
      </c>
    </row>
    <row r="43" ht="17.5" customHeight="1">
      <c r="A43" s="4" t="inlineStr">
        <is>
          <t>Inventa Capital</t>
        </is>
      </c>
    </row>
    <row r="44"/>
    <row r="45" ht="17.5" customHeight="1">
      <c r="A45" s="28" t="inlineStr">
        <is>
          <t>Development-stage private equity and lenders (rarely on an early-stage register; their absence means nothing)</t>
        </is>
      </c>
    </row>
    <row r="46" ht="17.5" customHeight="1">
      <c r="A46" s="4" t="inlineStr">
        <is>
          <t>Resource Capital Funds</t>
        </is>
      </c>
    </row>
    <row r="47" ht="17.5" customHeight="1">
      <c r="A47" s="4" t="inlineStr">
        <is>
          <t>Orion Resource Partners</t>
        </is>
      </c>
    </row>
    <row r="48" ht="17.5" customHeight="1">
      <c r="A48" s="4" t="inlineStr">
        <is>
          <t>Appian Capital</t>
        </is>
      </c>
    </row>
    <row r="49" ht="17.5" customHeight="1">
      <c r="A49" s="4" t="inlineStr">
        <is>
          <t>EMR Capital</t>
        </is>
      </c>
    </row>
    <row r="50" ht="17.5" customHeight="1">
      <c r="A50" s="4" t="inlineStr">
        <is>
          <t>Pacific Road Capital</t>
        </is>
      </c>
    </row>
    <row r="51" ht="17.5" customHeight="1">
      <c r="A51" s="4" t="inlineStr">
        <is>
          <t>Pala Investments</t>
        </is>
      </c>
    </row>
    <row r="52" ht="17.5" customHeight="1">
      <c r="A52" s="4" t="inlineStr">
        <is>
          <t>Tembo Capital</t>
        </is>
      </c>
    </row>
    <row r="53" ht="17.5" customHeight="1">
      <c r="A53" s="4" t="inlineStr">
        <is>
          <t>Beedie Capital (US$10-50m development-stage financings)</t>
        </is>
      </c>
    </row>
    <row r="54"/>
    <row r="55" ht="31" customHeight="1">
      <c r="A55" s="28" t="inlineStr">
        <is>
          <t>Sponsor groups and alliances (check the management-services fee in the related-party note and whether other group companies are the main holders)</t>
        </is>
      </c>
    </row>
    <row r="56" ht="17.5" customHeight="1">
      <c r="A56" s="4" t="inlineStr">
        <is>
          <t>Discovery Group</t>
        </is>
      </c>
    </row>
    <row r="57" ht="17.5" customHeight="1">
      <c r="A57" s="4" t="inlineStr">
        <is>
          <t>Augusta Group</t>
        </is>
      </c>
    </row>
    <row r="58" ht="17.5" customHeight="1">
      <c r="A58" s="4" t="inlineStr">
        <is>
          <t>Fiore Group</t>
        </is>
      </c>
    </row>
    <row r="59" ht="17.5" customHeight="1">
      <c r="A59" s="4" t="inlineStr">
        <is>
          <t>Osisko Group</t>
        </is>
      </c>
    </row>
    <row r="60" ht="17.5" customHeight="1">
      <c r="A60" s="4" t="inlineStr">
        <is>
          <t>Electrum Group</t>
        </is>
      </c>
    </row>
    <row r="61" ht="17.5" customHeight="1">
      <c r="A61" s="4" t="inlineStr">
        <is>
          <t>Oxygen Capital</t>
        </is>
      </c>
    </row>
    <row r="62" ht="17.5" customHeight="1">
      <c r="A62" s="4" t="inlineStr">
        <is>
          <t>Palisades Goldcorp</t>
        </is>
      </c>
    </row>
    <row r="63" ht="17.5" customHeight="1">
      <c r="A63" s="4" t="inlineStr">
        <is>
          <t>NewQuest Capital</t>
        </is>
      </c>
    </row>
    <row r="64" ht="17.5" customHeight="1">
      <c r="A64" s="4" t="inlineStr">
        <is>
          <t>Zimtu Capital</t>
        </is>
      </c>
    </row>
    <row r="65" ht="17.5" customHeight="1">
      <c r="A65" s="4" t="inlineStr">
        <is>
          <t>Inventa Capital</t>
        </is>
      </c>
    </row>
    <row r="66" ht="17.5" customHeight="1">
      <c r="A66" s="4" t="inlineStr">
        <is>
          <t>Hunter Dickinson (HDI)</t>
        </is>
      </c>
    </row>
    <row r="67" ht="17.5" customHeight="1">
      <c r="A67" s="4" t="inlineStr">
        <is>
          <t>Lundin Group</t>
        </is>
      </c>
    </row>
    <row r="68" ht="17.5" customHeight="1">
      <c r="A68" s="4" t="inlineStr">
        <is>
          <t>Metals Group</t>
        </is>
      </c>
    </row>
    <row r="69"/>
    <row r="70" ht="17.5" customHeight="1">
      <c r="A70" s="28" t="inlineStr">
        <is>
          <t>Coverage funding models (read the funding disclosure on every piece before weighing it)</t>
        </is>
      </c>
    </row>
    <row r="71" ht="31" customHeight="1">
      <c r="A71" s="4" t="inlineStr">
        <is>
          <t>Three models exist: subscriber-funded outlets that state they take no company payment; company-sponsored coverage (paid interviews, advertising, 'IR-Vertrag'); and authors who hold shares received in placements or as fees. The disclaimer on the piece itself is decisive.</t>
        </is>
      </c>
    </row>
    <row r="72" ht="31" customHeight="1">
      <c r="A72" s="4" t="inlineStr">
        <is>
          <t>Outlets that described themselves as subscriber-funded at the version date include Exploration Insights, Mining Stock Monkey and IKN (Inca Kola News); check the current disclaimer before relying on this.</t>
        </is>
      </c>
    </row>
    <row r="73" ht="31" customHeight="1">
      <c r="A73" s="4" t="inlineStr">
        <is>
          <t>German-language Börsenbriefe and video channels: look for 'bezahlte Werbung', 'IR-Vertrag' or 'Sponsored' in the footer; BaFin publishes warnings</t>
        </is>
      </c>
    </row>
    <row r="74"/>
    <row r="75" ht="17.5" customHeight="1">
      <c r="A75" s="28" t="inlineStr">
        <is>
          <t>Reading and data sources</t>
        </is>
      </c>
    </row>
    <row r="76" ht="17.5" customHeight="1">
      <c r="A76" s="29" t="inlineStr">
        <is>
          <t>Ore Deposits 101: Andrew Jackson, 11-part YouTube playlist (2014): https://www.youtube.com/playlist?list=PLUxgfzcPuWKt64gNa5fTpGIvSaSe1Hp0T</t>
        </is>
      </c>
    </row>
    <row r="77" ht="31" customHeight="1">
      <c r="A77" s="29" t="inlineStr">
        <is>
          <t>Physical Geology, open textbook (Karla Panchuk / Steven Earle, University of Saskatchewan OpenPress, CC BY 4.0): https://openpress.usask.ca/physicalgeology/</t>
        </is>
      </c>
    </row>
    <row r="78" ht="17.5" customHeight="1">
      <c r="A78" s="29" t="inlineStr">
        <is>
          <t>Fraser Institute Annual Survey of Mining Companies: https://www.fraserinstitute.org/</t>
        </is>
      </c>
    </row>
    <row r="79" ht="17.5" customHeight="1">
      <c r="A79" s="29" t="inlineStr">
        <is>
          <t>SEDAR+ filings: https://www.sedarplus.ca/  |  SEDI insider filings: https://www.sedi.ca/</t>
        </is>
      </c>
    </row>
    <row r="80" ht="17.5" customHeight="1">
      <c r="A80" s="29" t="inlineStr">
        <is>
          <t>CSA cease-trade orders and Disciplined List: https://www.securities-administrators.ca/</t>
        </is>
      </c>
    </row>
    <row r="81" ht="17.5" customHeight="1">
      <c r="A81" s="29" t="inlineStr">
        <is>
          <t>Protected Planet (WDPA): https://www.protectedplanet.net/  |  Native Land: https://native-land.ca/</t>
        </is>
      </c>
    </row>
    <row r="82" ht="17.5" customHeight="1">
      <c r="A82" s="29" t="inlineStr">
        <is>
          <t>EJAtlas: https://ejatlas.org/  |  Business &amp; Human Rights Resource Centre: https://www.business-humanrights.org/</t>
        </is>
      </c>
    </row>
    <row r="83" ht="17.5" customHeight="1">
      <c r="A83" s="29" t="inlineStr">
        <is>
          <t>MinEx Consulting discovery statistics: https://minexconsulting.com/</t>
        </is>
      </c>
    </row>
  </sheetData>
  <pageMargins left="0.75" right="0.75" top="1" bottom="1" header="0.5" footer="0.5"/>
</worksheet>
</file>

<file path=xl/worksheets/sheet8.xml><?xml version="1.0" encoding="utf-8"?>
<worksheet xmlns="http://schemas.openxmlformats.org/spreadsheetml/2006/main">
  <sheetPr>
    <tabColor rgb="009FB8C0"/>
    <outlinePr summaryBelow="1" summaryRight="1"/>
    <pageSetUpPr/>
  </sheetPr>
  <dimension ref="A1:C19"/>
  <sheetViews>
    <sheetView workbookViewId="0">
      <selection activeCell="A1" sqref="A1"/>
    </sheetView>
  </sheetViews>
  <sheetFormatPr baseColWidth="8" defaultRowHeight="15"/>
  <cols>
    <col width="12" customWidth="1" min="1" max="1"/>
    <col width="80" customWidth="1" min="2" max="2"/>
    <col width="50" customWidth="1" min="3" max="3"/>
  </cols>
  <sheetData>
    <row r="1">
      <c r="A1" s="1" t="inlineStr">
        <is>
          <t>NI 43-101 technical report: which item answers which rows</t>
        </is>
      </c>
    </row>
    <row r="2" ht="30" customHeight="1">
      <c r="A2" s="23" t="inlineStr">
        <is>
          <t>Download the latest technical report from SEDAR+ (document type 'Technical report') or the ASX announcements platform. JORC Table 1 and S-K 1300 reports follow a similar order. A listing-stage report predates later drilling: use news releases for those rows.</t>
        </is>
      </c>
    </row>
    <row r="3"/>
    <row r="4">
      <c r="A4" s="7" t="inlineStr">
        <is>
          <t>Item</t>
        </is>
      </c>
      <c r="B4" s="7" t="inlineStr">
        <is>
          <t>Content</t>
        </is>
      </c>
      <c r="C4" s="7" t="inlineStr">
        <is>
          <t>V10 rows</t>
        </is>
      </c>
    </row>
    <row r="5" ht="17.5" customHeight="1">
      <c r="A5" s="4" t="inlineStr">
        <is>
          <t>Item 2</t>
        </is>
      </c>
      <c r="B5" s="4" t="inlineStr">
        <is>
          <t>Introduction: QP names, site-visit dates</t>
        </is>
      </c>
      <c r="C5" s="4" t="inlineStr">
        <is>
          <t>G-15</t>
        </is>
      </c>
    </row>
    <row r="6" ht="31" customHeight="1">
      <c r="A6" s="4" t="inlineStr">
        <is>
          <t>Item 4</t>
        </is>
      </c>
      <c r="B6" s="4" t="inlineStr">
        <is>
          <t>Property description and location: tenure, expiry, royalties, encumbrances, environmental liabilities, permits</t>
        </is>
      </c>
      <c r="C6" s="4" t="inlineStr">
        <is>
          <t>A-01, A-03, A-04, T-01 to T-05, T-08, T-13, J-03</t>
        </is>
      </c>
    </row>
    <row r="7" ht="17.5" customHeight="1">
      <c r="A7" s="4" t="inlineStr">
        <is>
          <t>Item 5</t>
        </is>
      </c>
      <c r="B7" s="4" t="inlineStr">
        <is>
          <t>Accessibility, climate, local resources, infrastructure, physiography</t>
        </is>
      </c>
      <c r="C7" s="4" t="inlineStr">
        <is>
          <t>S-09 to S-16</t>
        </is>
      </c>
    </row>
    <row r="8" ht="17.5" customHeight="1">
      <c r="A8" s="4" t="inlineStr">
        <is>
          <t>Item 6</t>
        </is>
      </c>
      <c r="B8" s="4" t="inlineStr">
        <is>
          <t>History: prior owners, historical drilling and estimates</t>
        </is>
      </c>
      <c r="C8" s="4" t="inlineStr">
        <is>
          <t>S-04, S-05, G-13, G-14, D-12</t>
        </is>
      </c>
    </row>
    <row r="9" ht="17.5" customHeight="1">
      <c r="A9" s="4" t="inlineStr">
        <is>
          <t>Items 7-8</t>
        </is>
      </c>
      <c r="B9" s="4" t="inlineStr">
        <is>
          <t>Geological setting and deposit type</t>
        </is>
      </c>
      <c r="C9" s="4" t="inlineStr">
        <is>
          <t>G-01, G-02, S-07, S-08</t>
        </is>
      </c>
    </row>
    <row r="10" ht="17.5" customHeight="1">
      <c r="A10" s="4" t="inlineStr">
        <is>
          <t>Item 9</t>
        </is>
      </c>
      <c r="B10" s="4" t="inlineStr">
        <is>
          <t>Exploration: geochemistry, geophysics, mapping</t>
        </is>
      </c>
      <c r="C10" s="4" t="inlineStr">
        <is>
          <t>G-03 to G-07, G-11</t>
        </is>
      </c>
    </row>
    <row r="11" ht="17.5" customHeight="1">
      <c r="A11" s="4" t="inlineStr">
        <is>
          <t>Item 10</t>
        </is>
      </c>
      <c r="B11" s="4" t="inlineStr">
        <is>
          <t>Drilling: type, metres, collar and downhole surveys, recovery</t>
        </is>
      </c>
      <c r="C11" s="4" t="inlineStr">
        <is>
          <t>G-19, G-20, G-21, D-13, R-10</t>
        </is>
      </c>
    </row>
    <row r="12" ht="17.5" customHeight="1">
      <c r="A12" s="4" t="inlineStr">
        <is>
          <t>Item 11</t>
        </is>
      </c>
      <c r="B12" s="4" t="inlineStr">
        <is>
          <t>Sample preparation, analyses and security</t>
        </is>
      </c>
      <c r="C12" s="4" t="inlineStr">
        <is>
          <t>G-16, G-17, G-18</t>
        </is>
      </c>
    </row>
    <row r="13" ht="17.5" customHeight="1">
      <c r="A13" s="4" t="inlineStr">
        <is>
          <t>Item 12</t>
        </is>
      </c>
      <c r="B13" s="4" t="inlineStr">
        <is>
          <t>Data verification by the QP</t>
        </is>
      </c>
      <c r="C13" s="4" t="inlineStr">
        <is>
          <t>G-12, G-15, G-22</t>
        </is>
      </c>
    </row>
    <row r="14" ht="17.5" customHeight="1">
      <c r="A14" s="4" t="inlineStr">
        <is>
          <t>Item 13</t>
        </is>
      </c>
      <c r="B14" s="4" t="inlineStr">
        <is>
          <t>Mineral processing and metallurgical testing</t>
        </is>
      </c>
      <c r="C14" s="4" t="inlineStr">
        <is>
          <t>MP-01 to MP-08</t>
        </is>
      </c>
    </row>
    <row r="15" ht="31" customHeight="1">
      <c r="A15" s="4" t="inlineStr">
        <is>
          <t>Item 14</t>
        </is>
      </c>
      <c r="B15" s="4" t="inlineStr">
        <is>
          <t>Mineral resource estimate: cut-off, density, capping, classification, block model</t>
        </is>
      </c>
      <c r="C15" s="4" t="inlineStr">
        <is>
          <t>R-01 to R-16</t>
        </is>
      </c>
    </row>
    <row r="16" ht="17.5" customHeight="1">
      <c r="A16" s="4" t="inlineStr">
        <is>
          <t>Item 16</t>
        </is>
      </c>
      <c r="B16" s="4" t="inlineStr">
        <is>
          <t>Mining methods (studies only)</t>
        </is>
      </c>
      <c r="C16" s="4" t="inlineStr">
        <is>
          <t>MP-09 to MP-13, R-17, R-18</t>
        </is>
      </c>
    </row>
    <row r="17" ht="17.5" customHeight="1">
      <c r="A17" s="4" t="inlineStr">
        <is>
          <t>Items 20-21</t>
        </is>
      </c>
      <c r="B17" s="4" t="inlineStr">
        <is>
          <t>Environmental, permitting, social; capital and operating costs</t>
        </is>
      </c>
      <c r="C17" s="4" t="inlineStr">
        <is>
          <t>T-07, T-13, T-14, T-15, T-16, X-04, X-05</t>
        </is>
      </c>
    </row>
    <row r="18" ht="17.5" customHeight="1">
      <c r="A18" s="4" t="inlineStr">
        <is>
          <t>Item 22</t>
        </is>
      </c>
      <c r="B18" s="4" t="inlineStr">
        <is>
          <t>Economic analysis (studies only)</t>
        </is>
      </c>
      <c r="C18" s="4" t="inlineStr">
        <is>
          <t>X-01, X-03</t>
        </is>
      </c>
    </row>
    <row r="19" ht="17.5" customHeight="1">
      <c r="A19" s="4" t="inlineStr">
        <is>
          <t>Item 26</t>
        </is>
      </c>
      <c r="B19" s="4" t="inlineStr">
        <is>
          <t>Recommendations and budget</t>
        </is>
      </c>
      <c r="C19" s="4" t="inlineStr">
        <is>
          <t>E-01 to E-03, F-07</t>
        </is>
      </c>
    </row>
  </sheetData>
  <mergeCells count="1">
    <mergeCell ref="A2:C2"/>
  </mergeCells>
  <pageMargins left="0.75" right="0.75" top="1" bottom="1" header="0.5" footer="0.5"/>
</worksheet>
</file>

<file path=xl/worksheets/sheet9.xml><?xml version="1.0" encoding="utf-8"?>
<worksheet xmlns="http://schemas.openxmlformats.org/spreadsheetml/2006/main">
  <sheetPr>
    <tabColor rgb="009FB8C0"/>
    <outlinePr summaryBelow="1" summaryRight="1"/>
    <pageSetUpPr/>
  </sheetPr>
  <dimension ref="A1:C6"/>
  <sheetViews>
    <sheetView workbookViewId="0">
      <selection activeCell="A1" sqref="A1"/>
    </sheetView>
  </sheetViews>
  <sheetFormatPr baseColWidth="8" defaultRowHeight="15"/>
  <cols>
    <col width="10" customWidth="1" min="1" max="1"/>
    <col width="14" customWidth="1" min="2" max="2"/>
    <col width="140" customWidth="1" min="3" max="3"/>
  </cols>
  <sheetData>
    <row r="1">
      <c r="A1" s="1" t="inlineStr">
        <is>
          <t>Changelog</t>
        </is>
      </c>
    </row>
    <row r="2"/>
    <row r="3">
      <c r="A3" s="7" t="inlineStr">
        <is>
          <t>Version</t>
        </is>
      </c>
      <c r="B3" s="7" t="inlineStr">
        <is>
          <t>Date</t>
        </is>
      </c>
      <c r="C3" s="7" t="inlineStr">
        <is>
          <t>Changes</t>
        </is>
      </c>
    </row>
    <row r="4" ht="17.5" customHeight="1">
      <c r="A4" s="3" t="inlineStr">
        <is>
          <t>V7</t>
        </is>
      </c>
      <c r="B4" s="6" t="inlineStr">
        <is>
          <t>12.11.2024</t>
        </is>
      </c>
      <c r="C4" s="4" t="inlineStr">
        <is>
          <t>Baseline. 6 sections, 158 criteria (168 sheet rows including headers; PDF export printed 19.11.2024).</t>
        </is>
      </c>
    </row>
    <row r="5" ht="58" customHeight="1">
      <c r="A5" s="3" t="inlineStr">
        <is>
          <t>V9</t>
        </is>
      </c>
      <c r="B5" s="6" t="inlineStr">
        <is>
          <t>13.03.2025</t>
        </is>
      </c>
      <c r="C5" s="4" t="inlineStr">
        <is>
          <t>183 criteria. 25 criteria added (name/commodity churn, skin in the game, insider distribution, registry strategy, hold-period test, management history/composition/compensation, options plan, capital-raising history, marketing and social-media plans, quick ratios, public-holding history, size of prize / cost of test / chances of success, legacy issues, reading links, targeting strategy, historical drilling); 32 guidance texts changed; 13 blank guidance cells filled. File name stayed 'V7'.</t>
        </is>
      </c>
    </row>
    <row r="6" ht="206.5" customHeight="1">
      <c r="A6" s="3" t="inlineStr">
        <is>
          <t>V10</t>
        </is>
      </c>
      <c r="B6" s="6" t="inlineStr">
        <is>
          <t>14.09.2026</t>
        </is>
      </c>
      <c r="C6" s="4" t="inlineStr">
        <is>
          <t>Full restructure after the September 2026 external review, followed by a second verification pass (186 row-level corrections applied, 5 rows added: P-21, K-14, M-09, S-18, MP-14). New workbook: Read me, Summary (result tally and stop rule), Quick screen (28 rows with stop rule), main sheet reordered into 16 sections (199 rows) with answer, result, source, stage, tier, polarity and knock-out columns, Calculators (13 blocks), Glossary, Reference names, Report map, Changelog, V9 to V10 map. Meaning errors fixed: AISC and capital-intensity signs (now maxima), stray '+C60', land unit km2, ounces-per-metre unit, funded-programme split, restored magnetics unit. Duplicates merged: royalties (21/47), camp (63/69/137), community (79/80/85), financing history (28/33/43), cost per metre (72/162), spacing/depth children. Sources updated: SEDAR+ and SEDI with ASX/AIM/US equivalents; names corrected and dated; reading links relabelled; 'ask ChatGPT' replaced by a search path. Added: listing venue, share structure, EV, liquidity, escrow/hold releases, runway, insider participation, financial-statement quality, paid-promotion check, jurisdiction and fiscal-take block, security, tenure block, title overlaps, protected areas, indigenous rights, technical report and QP, assay lab and QA/QC, chain of custody, drill type and recovery, interval-reporting quality, target pipeline, historical-data verification, catalyst calendar, budget split, resource confidence checks, price assumptions, exit path, expected value. Polarity sentence on every row; empty guidance cells filled; gold calibration stated; price deck dated; technical rules corrected (true-width factor, success KPI by purpose, intrusion timing, dip by mining method, heap leach, oxide/VMS, starter pits, underground and open-pit tests, alteration footprint by model, spacing by deposit type). Names removed from negative-characterisation cells except dated, factual case references; disclaimer and attribution rewritten. Reference-name lists moved to their own sheet with an 'as of' date. Old CapIQ named ranges dropped.</t>
        </is>
      </c>
    </row>
  </sheetData>
  <pageMargins left="0.75" right="0.75" top="1" bottom="1" header="0.5" footer="0.5"/>
</worksheet>
</file>

<file path=xl/worksheets/sheet10.xml><?xml version="1.0" encoding="utf-8"?>
<worksheet xmlns="http://schemas.openxmlformats.org/spreadsheetml/2006/main">
  <sheetPr>
    <tabColor rgb="009FB8C0"/>
    <outlinePr summaryBelow="1" summaryRight="1"/>
    <pageSetUpPr/>
  </sheetPr>
  <dimension ref="A1:C187"/>
  <sheetViews>
    <sheetView workbookViewId="0">
      <pane ySplit="4" topLeftCell="A5" activePane="bottomLeft" state="frozen"/>
      <selection pane="bottomLeft" activeCell="A1" sqref="A1"/>
    </sheetView>
  </sheetViews>
  <sheetFormatPr baseColWidth="8" defaultRowHeight="15"/>
  <cols>
    <col width="10" customWidth="1" min="1" max="1"/>
    <col width="48" customWidth="1" min="2" max="2"/>
    <col width="34" customWidth="1" min="3" max="3"/>
  </cols>
  <sheetData>
    <row r="1">
      <c r="A1" s="1" t="inlineStr">
        <is>
          <t>Where each V9 row went</t>
        </is>
      </c>
    </row>
    <row r="2" ht="30" customHeight="1">
      <c r="A2" s="23" t="inlineStr">
        <is>
          <t>V9 Excel row numbers (sheet 'EP1 Questions', 13.03.2025) mapped to the V10 row IDs that carry the same question, merged or rewritten.</t>
        </is>
      </c>
    </row>
    <row r="3"/>
    <row r="4">
      <c r="A4" s="7" t="inlineStr">
        <is>
          <t>V9 row</t>
        </is>
      </c>
      <c r="B4" s="7" t="inlineStr">
        <is>
          <t>V9 criterion</t>
        </is>
      </c>
      <c r="C4" s="7" t="inlineStr">
        <is>
          <t>V10 rows</t>
        </is>
      </c>
    </row>
    <row r="5">
      <c r="A5" s="6" t="n">
        <v>6</v>
      </c>
      <c r="B5" s="6" t="inlineStr">
        <is>
          <t>Name</t>
        </is>
      </c>
      <c r="C5" s="6" t="inlineStr">
        <is>
          <t>C-01</t>
        </is>
      </c>
    </row>
    <row r="6">
      <c r="A6" s="6" t="n">
        <v>7</v>
      </c>
      <c r="B6" s="6" t="inlineStr">
        <is>
          <t>Name changes</t>
        </is>
      </c>
      <c r="C6" s="6" t="inlineStr">
        <is>
          <t>C-02</t>
        </is>
      </c>
    </row>
    <row r="7">
      <c r="A7" s="6" t="n">
        <v>8</v>
      </c>
      <c r="B7" s="6" t="inlineStr">
        <is>
          <t>Commodity focus</t>
        </is>
      </c>
      <c r="C7" s="6" t="inlineStr">
        <is>
          <t>C-03</t>
        </is>
      </c>
    </row>
    <row r="8">
      <c r="A8" s="6" t="n">
        <v>9</v>
      </c>
      <c r="B8" s="6" t="inlineStr">
        <is>
          <t>Top Jurisdiction</t>
        </is>
      </c>
      <c r="C8" s="6" t="inlineStr">
        <is>
          <t>J-01</t>
        </is>
      </c>
    </row>
    <row r="9">
      <c r="A9" s="6" t="n">
        <v>10</v>
      </c>
      <c r="B9" s="6" t="inlineStr">
        <is>
          <t>Business Model</t>
        </is>
      </c>
      <c r="C9" s="6" t="inlineStr">
        <is>
          <t>C-04, C-05</t>
        </is>
      </c>
    </row>
    <row r="10">
      <c r="A10" s="6" t="n">
        <v>11</v>
      </c>
      <c r="B10" s="6" t="inlineStr">
        <is>
          <t>Brownfield Project or Asset?</t>
        </is>
      </c>
      <c r="C10" s="6" t="inlineStr">
        <is>
          <t>S-05</t>
        </is>
      </c>
    </row>
    <row r="11">
      <c r="A11" s="6" t="n">
        <v>12</v>
      </c>
      <c r="B11" s="6" t="inlineStr">
        <is>
          <t>Large Land Position with prospective geology</t>
        </is>
      </c>
      <c r="C11" s="6" t="inlineStr">
        <is>
          <t>S-02</t>
        </is>
      </c>
    </row>
    <row r="12">
      <c r="A12" s="6" t="n">
        <v>13</v>
      </c>
      <c r="B12" s="6" t="inlineStr">
        <is>
          <t>% of land explored - Discovery Potential?</t>
        </is>
      </c>
      <c r="C12" s="6" t="inlineStr">
        <is>
          <t>S-03</t>
        </is>
      </c>
    </row>
    <row r="13">
      <c r="A13" s="6" t="n">
        <v>14</v>
      </c>
      <c r="B13" s="6" t="inlineStr">
        <is>
          <t>District Scale (&amp; ownership belt)</t>
        </is>
      </c>
      <c r="C13" s="6" t="inlineStr">
        <is>
          <t>S-06</t>
        </is>
      </c>
    </row>
    <row r="14">
      <c r="A14" s="6" t="n">
        <v>15</v>
      </c>
      <c r="B14" s="6" t="inlineStr">
        <is>
          <t>Within Existing Gold Belt?</t>
        </is>
      </c>
      <c r="C14" s="6" t="inlineStr">
        <is>
          <t>S-07, S-08</t>
        </is>
      </c>
    </row>
    <row r="15">
      <c r="A15" s="6" t="n">
        <v>16</v>
      </c>
      <c r="B15" s="6" t="inlineStr">
        <is>
          <t>Tier 1 Project close by - peers close by?</t>
        </is>
      </c>
      <c r="C15" s="6" t="inlineStr">
        <is>
          <t>S-07</t>
        </is>
      </c>
    </row>
    <row r="16">
      <c r="A16" s="6" t="n">
        <v>17</v>
      </c>
      <c r="B16" s="6" t="inlineStr">
        <is>
          <t>First Mover Advantage</t>
        </is>
      </c>
      <c r="C16" s="6" t="inlineStr">
        <is>
          <t>S-04</t>
        </is>
      </c>
    </row>
    <row r="17">
      <c r="A17" s="6" t="n">
        <v>18</v>
      </c>
      <c r="B17" s="6" t="inlineStr">
        <is>
          <t>Shareholding Insiders/Management</t>
        </is>
      </c>
      <c r="C17" s="6" t="inlineStr">
        <is>
          <t>P-06, P-07, A-02</t>
        </is>
      </c>
    </row>
    <row r="18">
      <c r="A18" s="6" t="n">
        <v>19</v>
      </c>
      <c r="B18" s="6" t="inlineStr">
        <is>
          <t>Skin in the game</t>
        </is>
      </c>
      <c r="C18" s="6" t="inlineStr">
        <is>
          <t>P-07</t>
        </is>
      </c>
    </row>
    <row r="19">
      <c r="A19" s="6" t="n">
        <v>20</v>
      </c>
      <c r="B19" s="6" t="inlineStr">
        <is>
          <t>Insider ownership distribution</t>
        </is>
      </c>
      <c r="C19" s="6" t="inlineStr">
        <is>
          <t>P-08</t>
        </is>
      </c>
    </row>
    <row r="20">
      <c r="A20" s="6" t="n">
        <v>21</v>
      </c>
      <c r="B20" s="6" t="inlineStr">
        <is>
          <t>Royalties on project or land package?</t>
        </is>
      </c>
      <c r="C20" s="6" t="inlineStr">
        <is>
          <t>P-11</t>
        </is>
      </c>
    </row>
    <row r="21">
      <c r="A21" s="6" t="n">
        <v>22</v>
      </c>
      <c r="B21" s="6" t="inlineStr">
        <is>
          <t>Mining Titan Shareholder</t>
        </is>
      </c>
      <c r="C21" s="6" t="inlineStr">
        <is>
          <t>P-16</t>
        </is>
      </c>
    </row>
    <row r="22">
      <c r="A22" s="6" t="n">
        <v>23</v>
      </c>
      <c r="B22" s="6" t="inlineStr">
        <is>
          <t>Successful Management Team/ Track Record</t>
        </is>
      </c>
      <c r="C22" s="6" t="inlineStr">
        <is>
          <t>P-01</t>
        </is>
      </c>
    </row>
    <row r="23">
      <c r="A23" s="6" t="n">
        <v>24</v>
      </c>
      <c r="B23" s="6" t="inlineStr">
        <is>
          <t>Mining specialized investors?</t>
        </is>
      </c>
      <c r="C23" s="6" t="inlineStr">
        <is>
          <t>P-17</t>
        </is>
      </c>
    </row>
    <row r="24">
      <c r="A24" s="6" t="n">
        <v>25</v>
      </c>
      <c r="B24" s="6" t="inlineStr">
        <is>
          <t>Part of an exploration alliance?</t>
        </is>
      </c>
      <c r="C24" s="6" t="inlineStr">
        <is>
          <t>P-18</t>
        </is>
      </c>
    </row>
    <row r="25">
      <c r="A25" s="6" t="n">
        <v>26</v>
      </c>
      <c r="B25" s="6" t="inlineStr">
        <is>
          <t>Shareholding or strategic partnership</t>
        </is>
      </c>
      <c r="C25" s="6" t="inlineStr">
        <is>
          <t>P-19</t>
        </is>
      </c>
    </row>
    <row r="26">
      <c r="A26" s="6" t="n">
        <v>27</v>
      </c>
      <c r="B26" s="6" t="inlineStr">
        <is>
          <t>Shareholder Registry Strategy</t>
        </is>
      </c>
      <c r="C26" s="6" t="inlineStr">
        <is>
          <t>P-20</t>
        </is>
      </c>
    </row>
    <row r="27">
      <c r="A27" s="6" t="n">
        <v>28</v>
      </c>
      <c r="B27" s="6" t="inlineStr">
        <is>
          <t>Shareholder History</t>
        </is>
      </c>
      <c r="C27" s="6" t="inlineStr">
        <is>
          <t>K-11</t>
        </is>
      </c>
    </row>
    <row r="28">
      <c r="A28" s="6" t="n">
        <v>29</v>
      </c>
      <c r="B28" s="6" t="inlineStr">
        <is>
          <t>Management History</t>
        </is>
      </c>
      <c r="C28" s="6" t="inlineStr">
        <is>
          <t>P-01, P-02</t>
        </is>
      </c>
    </row>
    <row r="29">
      <c r="A29" s="6" t="n">
        <v>30</v>
      </c>
      <c r="B29" s="6" t="inlineStr">
        <is>
          <t>Management Composition</t>
        </is>
      </c>
      <c r="C29" s="6" t="inlineStr">
        <is>
          <t>P-03</t>
        </is>
      </c>
    </row>
    <row r="30">
      <c r="A30" s="6" t="n">
        <v>31</v>
      </c>
      <c r="B30" s="6" t="inlineStr">
        <is>
          <t>Market Cap</t>
        </is>
      </c>
      <c r="C30" s="6" t="inlineStr">
        <is>
          <t>K-02, K-03</t>
        </is>
      </c>
    </row>
    <row r="31">
      <c r="A31" s="6" t="n">
        <v>32</v>
      </c>
      <c r="B31" s="6" t="inlineStr">
        <is>
          <t>Last Financing (timing and price)</t>
        </is>
      </c>
      <c r="C31" s="6" t="inlineStr">
        <is>
          <t>K-12</t>
        </is>
      </c>
    </row>
    <row r="32">
      <c r="A32" s="6" t="n">
        <v>33</v>
      </c>
      <c r="B32" s="6" t="inlineStr">
        <is>
          <t>Dilution - Cap structure development</t>
        </is>
      </c>
      <c r="C32" s="6" t="inlineStr">
        <is>
          <t>K-01, K-10</t>
        </is>
      </c>
    </row>
    <row r="33">
      <c r="A33" s="6" t="n">
        <v>34</v>
      </c>
      <c r="B33" s="6" t="inlineStr">
        <is>
          <t>Management participation</t>
        </is>
      </c>
      <c r="C33" s="6" t="inlineStr">
        <is>
          <t>P-09, K-08</t>
        </is>
      </c>
    </row>
    <row r="34">
      <c r="A34" s="6" t="n">
        <v>35</v>
      </c>
      <c r="B34" s="6" t="inlineStr">
        <is>
          <t>Cost Basis Management Shareholding (@IPO)</t>
        </is>
      </c>
      <c r="C34" s="6" t="inlineStr">
        <is>
          <t>P-07</t>
        </is>
      </c>
    </row>
    <row r="35">
      <c r="A35" s="6" t="n">
        <v>36</v>
      </c>
      <c r="B35" s="6" t="inlineStr">
        <is>
          <t>Insider Selling last 12 months?</t>
        </is>
      </c>
      <c r="C35" s="6" t="inlineStr">
        <is>
          <t>P-10</t>
        </is>
      </c>
    </row>
    <row r="36">
      <c r="A36" s="6" t="n">
        <v>37</v>
      </c>
      <c r="B36" s="6" t="inlineStr">
        <is>
          <t>Management Compensation</t>
        </is>
      </c>
      <c r="C36" s="6" t="inlineStr">
        <is>
          <t>P-13</t>
        </is>
      </c>
    </row>
    <row r="37">
      <c r="A37" s="6" t="n">
        <v>38</v>
      </c>
      <c r="B37" s="6" t="inlineStr">
        <is>
          <t>Options Plan</t>
        </is>
      </c>
      <c r="C37" s="6" t="inlineStr">
        <is>
          <t>P-14</t>
        </is>
      </c>
    </row>
    <row r="38">
      <c r="A38" s="6" t="n">
        <v>39</v>
      </c>
      <c r="B38" s="6" t="inlineStr">
        <is>
          <t>Warrants &amp; Options (strike price &amp; due date)</t>
        </is>
      </c>
      <c r="C38" s="6" t="inlineStr">
        <is>
          <t>K-08</t>
        </is>
      </c>
    </row>
    <row r="39">
      <c r="A39" s="6" t="n">
        <v>40</v>
      </c>
      <c r="B39" s="6" t="inlineStr">
        <is>
          <t>Total Cash (incl equivalents)</t>
        </is>
      </c>
      <c r="C39" s="6" t="inlineStr">
        <is>
          <t>F-01</t>
        </is>
      </c>
    </row>
    <row r="40">
      <c r="A40" s="6" t="n">
        <v>41</v>
      </c>
      <c r="B40" s="6" t="inlineStr">
        <is>
          <t>G&amp;A Cash Burn p.a. (incl. holding cost)</t>
        </is>
      </c>
      <c r="C40" s="6" t="inlineStr">
        <is>
          <t>F-02, F-04</t>
        </is>
      </c>
    </row>
    <row r="41">
      <c r="A41" s="6" t="n">
        <v>42</v>
      </c>
      <c r="B41" s="6" t="inlineStr">
        <is>
          <t>Total Liabilities</t>
        </is>
      </c>
      <c r="C41" s="6" t="inlineStr">
        <is>
          <t>F-06, P-12</t>
        </is>
      </c>
    </row>
    <row r="42">
      <c r="A42" s="6" t="n">
        <v>43</v>
      </c>
      <c r="B42" s="6" t="inlineStr">
        <is>
          <t>Capital Raising History</t>
        </is>
      </c>
      <c r="C42" s="6" t="inlineStr">
        <is>
          <t>K-10, K-13</t>
        </is>
      </c>
    </row>
    <row r="43">
      <c r="A43" s="6" t="n">
        <v>44</v>
      </c>
      <c r="B43" s="6" t="inlineStr">
        <is>
          <t>Ownership of Asset</t>
        </is>
      </c>
      <c r="C43" s="6" t="inlineStr">
        <is>
          <t>A-01, A-02</t>
        </is>
      </c>
    </row>
    <row r="44">
      <c r="A44" s="6" t="n">
        <v>45</v>
      </c>
      <c r="B44" s="6" t="inlineStr">
        <is>
          <t>JV Structure (Earn-In/Option/JV/First Right etc.)</t>
        </is>
      </c>
      <c r="C44" s="6" t="inlineStr">
        <is>
          <t>A-03</t>
        </is>
      </c>
    </row>
    <row r="45">
      <c r="A45" s="6" t="n">
        <v>46</v>
      </c>
      <c r="B45" s="6" t="inlineStr">
        <is>
          <t>Secondary Assets: value generating?</t>
        </is>
      </c>
      <c r="C45" s="6" t="inlineStr">
        <is>
          <t>A-05</t>
        </is>
      </c>
    </row>
    <row r="46">
      <c r="A46" s="6" t="n">
        <v>47</v>
      </c>
      <c r="B46" s="6" t="inlineStr">
        <is>
          <t>Royalties on project or land package?</t>
        </is>
      </c>
      <c r="C46" s="6" t="inlineStr">
        <is>
          <t>A-04</t>
        </is>
      </c>
    </row>
    <row r="47">
      <c r="A47" s="6" t="n">
        <v>48</v>
      </c>
      <c r="B47" s="6" t="inlineStr">
        <is>
          <t># of Analysts</t>
        </is>
      </c>
      <c r="C47" s="6" t="inlineStr">
        <is>
          <t>M-03</t>
        </is>
      </c>
    </row>
    <row r="48">
      <c r="A48" s="6" t="n">
        <v>49</v>
      </c>
      <c r="B48" s="6" t="inlineStr">
        <is>
          <t>Geographic Focus Management</t>
        </is>
      </c>
      <c r="C48" s="6" t="inlineStr">
        <is>
          <t>P-05</t>
        </is>
      </c>
    </row>
    <row r="49">
      <c r="A49" s="6" t="n">
        <v>50</v>
      </c>
      <c r="B49" s="6" t="inlineStr">
        <is>
          <t>Experienced Board of Directors</t>
        </is>
      </c>
      <c r="C49" s="6" t="inlineStr">
        <is>
          <t>P-04</t>
        </is>
      </c>
    </row>
    <row r="50">
      <c r="A50" s="6" t="n">
        <v>51</v>
      </c>
      <c r="B50" s="6" t="inlineStr">
        <is>
          <t>Newsletter writer coverage</t>
        </is>
      </c>
      <c r="C50" s="6" t="inlineStr">
        <is>
          <t>M-04</t>
        </is>
      </c>
    </row>
    <row r="51">
      <c r="A51" s="6" t="n">
        <v>52</v>
      </c>
      <c r="B51" s="6" t="inlineStr">
        <is>
          <t>Social Media Opinion</t>
        </is>
      </c>
      <c r="C51" s="6" t="inlineStr">
        <is>
          <t>M-05, M-08</t>
        </is>
      </c>
    </row>
    <row r="52">
      <c r="A52" s="6" t="n">
        <v>53</v>
      </c>
      <c r="B52" s="6" t="inlineStr">
        <is>
          <t>Corporate Presentation up to date</t>
        </is>
      </c>
      <c r="C52" s="6" t="inlineStr">
        <is>
          <t>M-06</t>
        </is>
      </c>
    </row>
    <row r="53">
      <c r="A53" s="6" t="n">
        <v>54</v>
      </c>
      <c r="B53" s="6" t="inlineStr">
        <is>
          <t>Commodity slides in presentation?</t>
        </is>
      </c>
      <c r="C53" s="6" t="inlineStr">
        <is>
          <t>M-06</t>
        </is>
      </c>
    </row>
    <row r="54">
      <c r="A54" s="6" t="n">
        <v>55</v>
      </c>
      <c r="B54" s="6" t="inlineStr">
        <is>
          <t>Marketing Plan</t>
        </is>
      </c>
      <c r="C54" s="6" t="inlineStr">
        <is>
          <t>M-01</t>
        </is>
      </c>
    </row>
    <row r="55">
      <c r="A55" s="6" t="n">
        <v>56</v>
      </c>
      <c r="B55" s="6" t="inlineStr">
        <is>
          <t>Social Media Strategy</t>
        </is>
      </c>
      <c r="C55" s="6" t="inlineStr">
        <is>
          <t>M-08</t>
        </is>
      </c>
    </row>
    <row r="56">
      <c r="A56" s="6" t="n">
        <v>57</v>
      </c>
      <c r="B56" s="6" t="inlineStr">
        <is>
          <t>Quick Ratios</t>
        </is>
      </c>
      <c r="C56" s="6" t="inlineStr">
        <is>
          <t>F-05</t>
        </is>
      </c>
    </row>
    <row r="57">
      <c r="A57" s="6" t="n">
        <v>59</v>
      </c>
      <c r="B57" s="6" t="inlineStr">
        <is>
          <t>Asset History</t>
        </is>
      </c>
      <c r="C57" s="6" t="inlineStr">
        <is>
          <t>S-04, G-14</t>
        </is>
      </c>
    </row>
    <row r="58">
      <c r="A58" s="6" t="n">
        <v>60</v>
      </c>
      <c r="B58" s="6" t="inlineStr">
        <is>
          <t>Public-holding History</t>
        </is>
      </c>
      <c r="C58" s="6" t="inlineStr">
        <is>
          <t>G-14</t>
        </is>
      </c>
    </row>
    <row r="59">
      <c r="A59" s="6" t="n">
        <v>61</v>
      </c>
      <c r="B59" s="6" t="inlineStr">
        <is>
          <t>All Year Round Access</t>
        </is>
      </c>
      <c r="C59" s="6" t="inlineStr">
        <is>
          <t>S-09</t>
        </is>
      </c>
    </row>
    <row r="60">
      <c r="A60" s="6" t="n">
        <v>62</v>
      </c>
      <c r="B60" s="6" t="inlineStr">
        <is>
          <t>Town/ City close by</t>
        </is>
      </c>
      <c r="C60" s="6" t="inlineStr">
        <is>
          <t>S-01, S-10</t>
        </is>
      </c>
    </row>
    <row r="61">
      <c r="A61" s="6" t="n">
        <v>63</v>
      </c>
      <c r="B61" s="6" t="inlineStr">
        <is>
          <t>Camp required - established</t>
        </is>
      </c>
      <c r="C61" s="6" t="inlineStr">
        <is>
          <t>S-11</t>
        </is>
      </c>
    </row>
    <row r="62">
      <c r="A62" s="6" t="n">
        <v>64</v>
      </c>
      <c r="B62" s="6" t="inlineStr">
        <is>
          <t>Road Access</t>
        </is>
      </c>
      <c r="C62" s="6" t="inlineStr">
        <is>
          <t>S-12</t>
        </is>
      </c>
    </row>
    <row r="63">
      <c r="A63" s="6" t="n">
        <v>65</v>
      </c>
      <c r="B63" s="6" t="inlineStr">
        <is>
          <t>Water Access</t>
        </is>
      </c>
      <c r="C63" s="6" t="inlineStr">
        <is>
          <t>S-13</t>
        </is>
      </c>
    </row>
    <row r="64">
      <c r="A64" s="6" t="n">
        <v>66</v>
      </c>
      <c r="B64" s="6" t="inlineStr">
        <is>
          <t>Power on Site</t>
        </is>
      </c>
      <c r="C64" s="6" t="inlineStr">
        <is>
          <t>S-14</t>
        </is>
      </c>
    </row>
    <row r="65">
      <c r="A65" s="6" t="n">
        <v>67</v>
      </c>
      <c r="B65" s="6" t="inlineStr">
        <is>
          <t>Project Topography</t>
        </is>
      </c>
      <c r="C65" s="6" t="inlineStr">
        <is>
          <t>S-15</t>
        </is>
      </c>
    </row>
    <row r="66">
      <c r="A66" s="6" t="n">
        <v>68</v>
      </c>
      <c r="B66" s="6" t="inlineStr">
        <is>
          <t>Annual Rainfall</t>
        </is>
      </c>
      <c r="C66" s="6" t="inlineStr">
        <is>
          <t>S-16</t>
        </is>
      </c>
    </row>
    <row r="67">
      <c r="A67" s="6" t="n">
        <v>69</v>
      </c>
      <c r="B67" s="6" t="inlineStr">
        <is>
          <t>Location Core Shack / Exploration Camp</t>
        </is>
      </c>
      <c r="C67" s="6" t="inlineStr">
        <is>
          <t>S-11</t>
        </is>
      </c>
    </row>
    <row r="68">
      <c r="A68" s="6" t="n">
        <v>70</v>
      </c>
      <c r="B68" s="6" t="inlineStr">
        <is>
          <t>Local Drilling Contractor</t>
        </is>
      </c>
      <c r="C68" s="6" t="inlineStr">
        <is>
          <t>S-17</t>
        </is>
      </c>
    </row>
    <row r="69">
      <c r="A69" s="6" t="n">
        <v>71</v>
      </c>
      <c r="B69" s="6" t="inlineStr">
        <is>
          <t>Size of the Prize</t>
        </is>
      </c>
      <c r="C69" s="6" t="inlineStr">
        <is>
          <t>V-01</t>
        </is>
      </c>
    </row>
    <row r="70">
      <c r="A70" s="6" t="n">
        <v>72</v>
      </c>
      <c r="B70" s="6" t="inlineStr">
        <is>
          <t>Cost of the Test</t>
        </is>
      </c>
      <c r="C70" s="6" t="inlineStr">
        <is>
          <t>E-03, V-02</t>
        </is>
      </c>
    </row>
    <row r="71">
      <c r="A71" s="6" t="n">
        <v>73</v>
      </c>
      <c r="B71" s="6" t="inlineStr">
        <is>
          <t>Chances of Success</t>
        </is>
      </c>
      <c r="C71" s="6" t="inlineStr">
        <is>
          <t>V-03</t>
        </is>
      </c>
    </row>
    <row r="72">
      <c r="A72" s="6" t="n">
        <v>75</v>
      </c>
      <c r="B72" s="6" t="inlineStr">
        <is>
          <t>Exploration Licence granted  (Terms?)</t>
        </is>
      </c>
      <c r="C72" s="6" t="inlineStr">
        <is>
          <t>T-01, T-02, T-03</t>
        </is>
      </c>
    </row>
    <row r="73">
      <c r="A73" s="6" t="n">
        <v>76</v>
      </c>
      <c r="B73" s="6" t="inlineStr">
        <is>
          <t>Drill Permits - Operations Permit</t>
        </is>
      </c>
      <c r="C73" s="6" t="inlineStr">
        <is>
          <t>T-06</t>
        </is>
      </c>
    </row>
    <row r="74">
      <c r="A74" s="6" t="n">
        <v>77</v>
      </c>
      <c r="B74" s="6" t="inlineStr">
        <is>
          <t>Bulk Sample Permit</t>
        </is>
      </c>
      <c r="C74" s="6" t="inlineStr">
        <is>
          <t>MP-12</t>
        </is>
      </c>
    </row>
    <row r="75">
      <c r="A75" s="6" t="n">
        <v>78</v>
      </c>
      <c r="B75" s="6" t="inlineStr">
        <is>
          <t>Sufficiency of Surface Rights</t>
        </is>
      </c>
      <c r="C75" s="6" t="inlineStr">
        <is>
          <t>T-08, T-09</t>
        </is>
      </c>
    </row>
    <row r="76">
      <c r="A76" s="6" t="n">
        <v>79</v>
      </c>
      <c r="B76" s="6" t="inlineStr">
        <is>
          <t>Social Engagement/Development Plan</t>
        </is>
      </c>
      <c r="C76" s="6" t="inlineStr">
        <is>
          <t>T-10, T-11</t>
        </is>
      </c>
    </row>
    <row r="77">
      <c r="A77" s="6" t="n">
        <v>80</v>
      </c>
      <c r="B77" s="6" t="inlineStr">
        <is>
          <t>Social Licence to operate / Community Risk</t>
        </is>
      </c>
      <c r="C77" s="6" t="inlineStr">
        <is>
          <t>T-11</t>
        </is>
      </c>
    </row>
    <row r="78">
      <c r="A78" s="6" t="n">
        <v>81</v>
      </c>
      <c r="B78" s="6" t="inlineStr">
        <is>
          <t>Environmental Liabilities</t>
        </is>
      </c>
      <c r="C78" s="6" t="inlineStr">
        <is>
          <t>T-13</t>
        </is>
      </c>
    </row>
    <row r="79">
      <c r="A79" s="6" t="n">
        <v>82</v>
      </c>
      <c r="B79" s="6" t="inlineStr">
        <is>
          <t>EIA / Baseline Studies submitted</t>
        </is>
      </c>
      <c r="C79" s="6" t="inlineStr">
        <is>
          <t>T-14</t>
        </is>
      </c>
    </row>
    <row r="80">
      <c r="A80" s="6" t="n">
        <v>83</v>
      </c>
      <c r="B80" s="6" t="inlineStr">
        <is>
          <t>Sustainability Policies in place</t>
        </is>
      </c>
      <c r="C80" s="6" t="inlineStr">
        <is>
          <t>T-15</t>
        </is>
      </c>
    </row>
    <row r="81">
      <c r="A81" s="6" t="n">
        <v>84</v>
      </c>
      <c r="B81" s="6" t="inlineStr">
        <is>
          <t>Best Practices and Codes followed</t>
        </is>
      </c>
      <c r="C81" s="6" t="inlineStr">
        <is>
          <t>T-15</t>
        </is>
      </c>
    </row>
    <row r="82">
      <c r="A82" s="6" t="n">
        <v>85</v>
      </c>
      <c r="B82" s="6" t="inlineStr">
        <is>
          <t>History</t>
        </is>
      </c>
      <c r="C82" s="6" t="inlineStr">
        <is>
          <t>T-16</t>
        </is>
      </c>
    </row>
    <row r="83">
      <c r="A83" s="6" t="n">
        <v>87</v>
      </c>
      <c r="B83" s="6" t="inlineStr">
        <is>
          <t>Global Resource</t>
        </is>
      </c>
      <c r="C83" s="6" t="inlineStr">
        <is>
          <t>X-02</t>
        </is>
      </c>
    </row>
    <row r="84">
      <c r="A84" s="6" t="n">
        <v>88</v>
      </c>
      <c r="B84" s="6" t="inlineStr">
        <is>
          <t>Mine Life</t>
        </is>
      </c>
      <c r="C84" s="6" t="inlineStr">
        <is>
          <t>X-02</t>
        </is>
      </c>
    </row>
    <row r="85">
      <c r="A85" s="6" t="n">
        <v>89</v>
      </c>
      <c r="B85" s="6" t="inlineStr">
        <is>
          <t>Production p.a.</t>
        </is>
      </c>
      <c r="C85" s="6" t="inlineStr">
        <is>
          <t>X-02</t>
        </is>
      </c>
    </row>
    <row r="86">
      <c r="A86" s="6" t="n">
        <v>90</v>
      </c>
      <c r="B86" s="6" t="inlineStr">
        <is>
          <t>IRR</t>
        </is>
      </c>
      <c r="C86" s="6" t="inlineStr">
        <is>
          <t>X-03</t>
        </is>
      </c>
    </row>
    <row r="87">
      <c r="A87" s="6" t="n">
        <v>91</v>
      </c>
      <c r="B87" s="6" t="inlineStr">
        <is>
          <t>AISC</t>
        </is>
      </c>
      <c r="C87" s="6" t="inlineStr">
        <is>
          <t>X-01, X-04</t>
        </is>
      </c>
    </row>
    <row r="88">
      <c r="A88" s="6" t="n">
        <v>92</v>
      </c>
      <c r="B88" s="6" t="inlineStr">
        <is>
          <t>Capital Intensity (CAPEX)</t>
        </is>
      </c>
      <c r="C88" s="6" t="inlineStr">
        <is>
          <t>X-05</t>
        </is>
      </c>
    </row>
    <row r="89">
      <c r="A89" s="6" t="n">
        <v>93</v>
      </c>
      <c r="B89" s="6" t="inlineStr">
        <is>
          <t>Project Finance possible?</t>
        </is>
      </c>
      <c r="C89" s="6" t="inlineStr">
        <is>
          <t>X-06</t>
        </is>
      </c>
    </row>
    <row r="90">
      <c r="A90" s="6" t="n">
        <v>95</v>
      </c>
      <c r="B90" s="6" t="inlineStr">
        <is>
          <t>Preliminary PFD available</t>
        </is>
      </c>
      <c r="C90" s="6" t="inlineStr">
        <is>
          <t>MP-01</t>
        </is>
      </c>
    </row>
    <row r="91">
      <c r="A91" s="6" t="n">
        <v>96</v>
      </c>
      <c r="B91" s="6" t="inlineStr">
        <is>
          <t>Met Test Work</t>
        </is>
      </c>
      <c r="C91" s="6" t="inlineStr">
        <is>
          <t>MP-02</t>
        </is>
      </c>
    </row>
    <row r="92">
      <c r="A92" s="6" t="n">
        <v>97</v>
      </c>
      <c r="B92" s="6" t="inlineStr">
        <is>
          <t>Gravity</t>
        </is>
      </c>
      <c r="C92" s="6" t="inlineStr">
        <is>
          <t>MP-04</t>
        </is>
      </c>
    </row>
    <row r="93">
      <c r="A93" s="6" t="n">
        <v>98</v>
      </c>
      <c r="B93" s="6" t="inlineStr">
        <is>
          <t>Leaching</t>
        </is>
      </c>
      <c r="C93" s="6" t="inlineStr">
        <is>
          <t>MP-03, MP-05</t>
        </is>
      </c>
    </row>
    <row r="94">
      <c r="A94" s="6" t="n">
        <v>99</v>
      </c>
      <c r="B94" s="6" t="inlineStr">
        <is>
          <t>Flotation</t>
        </is>
      </c>
      <c r="C94" s="6" t="inlineStr">
        <is>
          <t>MP-03</t>
        </is>
      </c>
    </row>
    <row r="95">
      <c r="A95" s="6" t="n">
        <v>100</v>
      </c>
      <c r="B95" s="6" t="inlineStr">
        <is>
          <t>Core Samples used</t>
        </is>
      </c>
      <c r="C95" s="6" t="inlineStr">
        <is>
          <t>MP-02</t>
        </is>
      </c>
    </row>
    <row r="96">
      <c r="A96" s="6" t="n">
        <v>101</v>
      </c>
      <c r="B96" s="6" t="inlineStr">
        <is>
          <t>Bulk Sampling</t>
        </is>
      </c>
      <c r="C96" s="6" t="inlineStr">
        <is>
          <t>MP-12</t>
        </is>
      </c>
    </row>
    <row r="97">
      <c r="A97" s="6" t="n">
        <v>102</v>
      </c>
      <c r="B97" s="6" t="inlineStr">
        <is>
          <t>Clay &amp; Fines (Leaching)</t>
        </is>
      </c>
      <c r="C97" s="6" t="inlineStr">
        <is>
          <t>MP-07</t>
        </is>
      </c>
    </row>
    <row r="98">
      <c r="A98" s="6" t="n">
        <v>103</v>
      </c>
      <c r="B98" s="6" t="inlineStr">
        <is>
          <t>Head Grade (ROM) - Dilution assumption?</t>
        </is>
      </c>
      <c r="C98" s="6" t="inlineStr">
        <is>
          <t>MP-09</t>
        </is>
      </c>
    </row>
    <row r="99">
      <c r="A99" s="6" t="n">
        <v>104</v>
      </c>
      <c r="B99" s="6" t="inlineStr">
        <is>
          <t>Overall Recovery</t>
        </is>
      </c>
      <c r="C99" s="6" t="inlineStr">
        <is>
          <t>MP-03</t>
        </is>
      </c>
    </row>
    <row r="100">
      <c r="A100" s="6" t="n">
        <v>105</v>
      </c>
      <c r="B100" s="6" t="inlineStr">
        <is>
          <t>Heap Leach Potential</t>
        </is>
      </c>
      <c r="C100" s="6" t="inlineStr">
        <is>
          <t>MP-06</t>
        </is>
      </c>
    </row>
    <row r="101">
      <c r="A101" s="6" t="n">
        <v>106</v>
      </c>
      <c r="B101" s="6" t="inlineStr">
        <is>
          <t>Free Milling (gravity recovery)</t>
        </is>
      </c>
      <c r="C101" s="6" t="inlineStr">
        <is>
          <t>MP-04, MP-05</t>
        </is>
      </c>
    </row>
    <row r="102">
      <c r="A102" s="6" t="n">
        <v>107</v>
      </c>
      <c r="B102" s="6" t="inlineStr">
        <is>
          <t>Refractory Gold</t>
        </is>
      </c>
      <c r="C102" s="6" t="inlineStr">
        <is>
          <t>MP-05</t>
        </is>
      </c>
    </row>
    <row r="103">
      <c r="A103" s="6" t="n">
        <v>108</v>
      </c>
      <c r="B103" s="6" t="inlineStr">
        <is>
          <t>Oxide Ore Only</t>
        </is>
      </c>
      <c r="C103" s="6" t="inlineStr">
        <is>
          <t>MP-08</t>
        </is>
      </c>
    </row>
    <row r="104">
      <c r="A104" s="6" t="n">
        <v>109</v>
      </c>
      <c r="B104" s="6" t="inlineStr">
        <is>
          <t>Thickness Transitional Ore</t>
        </is>
      </c>
      <c r="C104" s="6" t="inlineStr">
        <is>
          <t>MP-08</t>
        </is>
      </c>
    </row>
    <row r="105">
      <c r="A105" s="6" t="n">
        <v>110</v>
      </c>
      <c r="B105" s="6" t="inlineStr">
        <is>
          <t>Clear boundaries between ore horizons</t>
        </is>
      </c>
      <c r="C105" s="6" t="inlineStr">
        <is>
          <t>MP-08</t>
        </is>
      </c>
    </row>
    <row r="106">
      <c r="A106" s="6" t="n">
        <v>111</v>
      </c>
      <c r="B106" s="6" t="inlineStr">
        <is>
          <t>Sulphide potential</t>
        </is>
      </c>
      <c r="C106" s="6" t="inlineStr">
        <is>
          <t>MP-08</t>
        </is>
      </c>
    </row>
    <row r="107">
      <c r="A107" s="6" t="n">
        <v>112</v>
      </c>
      <c r="B107" s="6" t="inlineStr">
        <is>
          <t>Open Pit potential</t>
        </is>
      </c>
      <c r="C107" s="6" t="inlineStr">
        <is>
          <t>R-18, MP-11</t>
        </is>
      </c>
    </row>
    <row r="108">
      <c r="A108" s="6" t="n">
        <v>113</v>
      </c>
      <c r="B108" s="6" t="inlineStr">
        <is>
          <t>Starter Pit planned</t>
        </is>
      </c>
      <c r="C108" s="6" t="inlineStr">
        <is>
          <t>MP-11</t>
        </is>
      </c>
    </row>
    <row r="109">
      <c r="A109" s="6" t="n">
        <v>114</v>
      </c>
      <c r="B109" s="6" t="inlineStr">
        <is>
          <t>Block Model Available</t>
        </is>
      </c>
      <c r="C109" s="6" t="inlineStr">
        <is>
          <t>R-15</t>
        </is>
      </c>
    </row>
    <row r="110">
      <c r="A110" s="6" t="n">
        <v>115</v>
      </c>
      <c r="B110" s="6" t="inlineStr">
        <is>
          <t>Strip Ratio SR (t:t)</t>
        </is>
      </c>
      <c r="C110" s="6" t="inlineStr">
        <is>
          <t>MP-10</t>
        </is>
      </c>
    </row>
    <row r="111">
      <c r="A111" s="6" t="n">
        <v>117</v>
      </c>
      <c r="B111" s="6" t="inlineStr">
        <is>
          <t>Ore Deposits 101 (YouTube)</t>
        </is>
      </c>
      <c r="C111" s="6" t="inlineStr">
        <is>
          <t>Reference names (reading)</t>
        </is>
      </c>
    </row>
    <row r="112">
      <c r="A112" s="6" t="n">
        <v>118</v>
      </c>
      <c r="B112" s="6" t="inlineStr">
        <is>
          <t>Geology 101 (YouTube)</t>
        </is>
      </c>
      <c r="C112" s="6" t="inlineStr">
        <is>
          <t>Reference names (reading)</t>
        </is>
      </c>
    </row>
    <row r="113">
      <c r="A113" s="6" t="n">
        <v>119</v>
      </c>
      <c r="B113" s="6" t="inlineStr">
        <is>
          <t>Magnetic Surveys</t>
        </is>
      </c>
      <c r="C113" s="6" t="inlineStr">
        <is>
          <t>G-05</t>
        </is>
      </c>
    </row>
    <row r="114">
      <c r="A114" s="6" t="n">
        <v>120</v>
      </c>
      <c r="B114" s="6" t="inlineStr">
        <is>
          <t>Gravity Surveys</t>
        </is>
      </c>
      <c r="C114" s="6" t="inlineStr">
        <is>
          <t>G-05</t>
        </is>
      </c>
    </row>
    <row r="115">
      <c r="A115" s="6" t="n">
        <v>121</v>
      </c>
      <c r="B115" s="6" t="inlineStr">
        <is>
          <t>Electromagnetic (EM) Surveys</t>
        </is>
      </c>
      <c r="C115" s="6" t="inlineStr">
        <is>
          <t>G-05</t>
        </is>
      </c>
    </row>
    <row r="116">
      <c r="A116" s="6" t="n">
        <v>122</v>
      </c>
      <c r="B116" s="6" t="inlineStr">
        <is>
          <t>Induced Polarization (IP) Surveys</t>
        </is>
      </c>
      <c r="C116" s="6" t="inlineStr">
        <is>
          <t>G-05</t>
        </is>
      </c>
    </row>
    <row r="117">
      <c r="A117" s="6" t="n">
        <v>123</v>
      </c>
      <c r="B117" s="6" t="inlineStr">
        <is>
          <t>Seismic Surveys</t>
        </is>
      </c>
      <c r="C117" s="6" t="inlineStr">
        <is>
          <t>G-05</t>
        </is>
      </c>
    </row>
    <row r="118">
      <c r="A118" s="6" t="n">
        <v>124</v>
      </c>
      <c r="B118" s="6" t="inlineStr">
        <is>
          <t>Soil/ Rock-Chip/ Stream Sediment</t>
        </is>
      </c>
      <c r="C118" s="6" t="inlineStr">
        <is>
          <t>G-04</t>
        </is>
      </c>
    </row>
    <row r="119">
      <c r="A119" s="6" t="n">
        <v>125</v>
      </c>
      <c r="B119" s="6" t="inlineStr">
        <is>
          <t>Structural Geology fully understood</t>
        </is>
      </c>
      <c r="C119" s="6" t="inlineStr">
        <is>
          <t>G-08</t>
        </is>
      </c>
    </row>
    <row r="120">
      <c r="A120" s="6" t="n">
        <v>126</v>
      </c>
      <c r="B120" s="6" t="inlineStr">
        <is>
          <t># Exploration Targets identified</t>
        </is>
      </c>
      <c r="C120" s="6" t="inlineStr">
        <is>
          <t>G-11</t>
        </is>
      </c>
    </row>
    <row r="121">
      <c r="A121" s="6" t="n">
        <v>127</v>
      </c>
      <c r="B121" s="6" t="inlineStr">
        <is>
          <t># Targets tested so far</t>
        </is>
      </c>
      <c r="C121" s="6" t="inlineStr">
        <is>
          <t>G-11</t>
        </is>
      </c>
    </row>
    <row r="122">
      <c r="A122" s="6" t="n">
        <v>128</v>
      </c>
      <c r="B122" s="6" t="inlineStr">
        <is>
          <t>Targeting strategy</t>
        </is>
      </c>
      <c r="C122" s="6" t="inlineStr">
        <is>
          <t>G-03</t>
        </is>
      </c>
    </row>
    <row r="123">
      <c r="A123" s="6" t="n">
        <v>129</v>
      </c>
      <c r="B123" s="6" t="inlineStr">
        <is>
          <t>Potential new discoveries?</t>
        </is>
      </c>
      <c r="C123" s="6" t="inlineStr">
        <is>
          <t>G-11</t>
        </is>
      </c>
    </row>
    <row r="124">
      <c r="A124" s="6" t="n">
        <v>130</v>
      </c>
      <c r="B124" s="6" t="inlineStr">
        <is>
          <t>Geological Mapping complete</t>
        </is>
      </c>
      <c r="C124" s="6" t="inlineStr">
        <is>
          <t>G-06</t>
        </is>
      </c>
    </row>
    <row r="125">
      <c r="A125" s="6" t="n">
        <v>131</v>
      </c>
      <c r="B125" s="6" t="inlineStr">
        <is>
          <t>Alteration Mapping complete</t>
        </is>
      </c>
      <c r="C125" s="6" t="inlineStr">
        <is>
          <t>G-06, G-07</t>
        </is>
      </c>
    </row>
    <row r="126">
      <c r="A126" s="6" t="n">
        <v>132</v>
      </c>
      <c r="B126" s="6" t="inlineStr">
        <is>
          <t>Collar &amp; Down-the-hole-surveys</t>
        </is>
      </c>
      <c r="C126" s="6" t="inlineStr">
        <is>
          <t>G-19</t>
        </is>
      </c>
    </row>
    <row r="127">
      <c r="A127" s="6" t="n">
        <v>133</v>
      </c>
      <c r="B127" s="6" t="inlineStr">
        <is>
          <t>Large alterations footprint (&gt;3 sqkm)</t>
        </is>
      </c>
      <c r="C127" s="6" t="inlineStr">
        <is>
          <t>G-07</t>
        </is>
      </c>
    </row>
    <row r="128">
      <c r="A128" s="6" t="n">
        <v>134</v>
      </c>
      <c r="B128" s="6" t="inlineStr">
        <is>
          <t>Surface expression of mineralization</t>
        </is>
      </c>
      <c r="C128" s="6" t="inlineStr">
        <is>
          <t>G-09</t>
        </is>
      </c>
    </row>
    <row r="129">
      <c r="A129" s="6" t="n">
        <v>135</v>
      </c>
      <c r="B129" s="6" t="inlineStr">
        <is>
          <t>Geological Model</t>
        </is>
      </c>
      <c r="C129" s="6" t="inlineStr">
        <is>
          <t>G-02</t>
        </is>
      </c>
    </row>
    <row r="130">
      <c r="A130" s="6" t="n">
        <v>136</v>
      </c>
      <c r="B130" s="6" t="inlineStr">
        <is>
          <t>Oriented Core</t>
        </is>
      </c>
      <c r="C130" s="6" t="inlineStr">
        <is>
          <t>G-21</t>
        </is>
      </c>
    </row>
    <row r="131">
      <c r="A131" s="6" t="n">
        <v>137</v>
      </c>
      <c r="B131" s="6" t="inlineStr">
        <is>
          <t>Camp Established</t>
        </is>
      </c>
      <c r="C131" s="6" t="inlineStr">
        <is>
          <t>S-11</t>
        </is>
      </c>
    </row>
    <row r="132">
      <c r="A132" s="6" t="n">
        <v>139</v>
      </c>
      <c r="B132" s="6" t="inlineStr">
        <is>
          <t>Mineral Deposit Type</t>
        </is>
      </c>
      <c r="C132" s="6" t="inlineStr">
        <is>
          <t>G-01</t>
        </is>
      </c>
    </row>
    <row r="133">
      <c r="A133" s="6" t="n">
        <v>140</v>
      </c>
      <c r="B133" s="6" t="inlineStr">
        <is>
          <t>Discovery Hole</t>
        </is>
      </c>
      <c r="C133" s="6" t="inlineStr">
        <is>
          <t>D-01</t>
        </is>
      </c>
    </row>
    <row r="134">
      <c r="A134" s="6" t="n">
        <v>141</v>
      </c>
      <c r="B134" s="6" t="inlineStr">
        <is>
          <t>Best Intersection GT (Grade * Thickness)</t>
        </is>
      </c>
      <c r="C134" s="6" t="inlineStr">
        <is>
          <t>D-02</t>
        </is>
      </c>
    </row>
    <row r="135">
      <c r="A135" s="6" t="n">
        <v>142</v>
      </c>
      <c r="B135" s="6" t="inlineStr">
        <is>
          <t>Number of discovery campaigns</t>
        </is>
      </c>
      <c r="C135" s="6" t="inlineStr">
        <is>
          <t>D-12</t>
        </is>
      </c>
    </row>
    <row r="136">
      <c r="A136" s="6" t="n">
        <v>143</v>
      </c>
      <c r="B136" s="6" t="inlineStr">
        <is>
          <t>Discovery Program (meters drilled)</t>
        </is>
      </c>
      <c r="C136" s="6" t="inlineStr">
        <is>
          <t>D-13</t>
        </is>
      </c>
    </row>
    <row r="137">
      <c r="A137" s="6" t="n">
        <v>144</v>
      </c>
      <c r="B137" s="6" t="inlineStr">
        <is>
          <t>Average Length of Intercept</t>
        </is>
      </c>
      <c r="C137" s="6" t="inlineStr">
        <is>
          <t>D-03</t>
        </is>
      </c>
    </row>
    <row r="138">
      <c r="A138" s="6" t="n">
        <v>145</v>
      </c>
      <c r="B138" s="6" t="inlineStr">
        <is>
          <t>Average Intercept Grade</t>
        </is>
      </c>
      <c r="C138" s="6" t="inlineStr">
        <is>
          <t>D-05</t>
        </is>
      </c>
    </row>
    <row r="139">
      <c r="A139" s="6" t="n">
        <v>146</v>
      </c>
      <c r="B139" s="6" t="inlineStr">
        <is>
          <t>Average Drilling Depth</t>
        </is>
      </c>
      <c r="C139" s="6" t="inlineStr">
        <is>
          <t>D-08</t>
        </is>
      </c>
    </row>
    <row r="140">
      <c r="A140" s="6" t="n">
        <v>147</v>
      </c>
      <c r="B140" s="6" t="inlineStr">
        <is>
          <t>Average Metal Factor (Metal Value in-situ)</t>
        </is>
      </c>
      <c r="C140" s="6" t="inlineStr">
        <is>
          <t>D-05, D-06</t>
        </is>
      </c>
    </row>
    <row r="141">
      <c r="A141" s="6" t="n">
        <v>148</v>
      </c>
      <c r="B141" s="6" t="inlineStr">
        <is>
          <t>Vein Width (min mining width)</t>
        </is>
      </c>
      <c r="C141" s="6" t="inlineStr">
        <is>
          <t>D-10</t>
        </is>
      </c>
    </row>
    <row r="142">
      <c r="A142" s="6" t="n">
        <v>149</v>
      </c>
      <c r="B142" s="6" t="inlineStr">
        <is>
          <t>Strike Length</t>
        </is>
      </c>
      <c r="C142" s="6" t="inlineStr">
        <is>
          <t>D-07</t>
        </is>
      </c>
    </row>
    <row r="143">
      <c r="A143" s="6" t="n">
        <v>150</v>
      </c>
      <c r="B143" s="6" t="inlineStr">
        <is>
          <t>VG (visible Gold)</t>
        </is>
      </c>
      <c r="C143" s="6" t="inlineStr">
        <is>
          <t>D-09</t>
        </is>
      </c>
    </row>
    <row r="144">
      <c r="A144" s="6" t="n">
        <v>151</v>
      </c>
      <c r="B144" s="6" t="inlineStr">
        <is>
          <t>Mineralization Structural Controlled</t>
        </is>
      </c>
      <c r="C144" s="6" t="inlineStr">
        <is>
          <t>G-08</t>
        </is>
      </c>
    </row>
    <row r="145">
      <c r="A145" s="6" t="n">
        <v>152</v>
      </c>
      <c r="B145" s="6" t="inlineStr">
        <is>
          <t>Dipping Angle</t>
        </is>
      </c>
      <c r="C145" s="6" t="inlineStr">
        <is>
          <t>D-11</t>
        </is>
      </c>
    </row>
    <row r="146">
      <c r="A146" s="6" t="n">
        <v>153</v>
      </c>
      <c r="B146" s="6" t="inlineStr">
        <is>
          <t>Epithermal Low Sulfidation</t>
        </is>
      </c>
      <c r="C146" s="6" t="inlineStr">
        <is>
          <t>G-01</t>
        </is>
      </c>
    </row>
    <row r="147">
      <c r="A147" s="6" t="n">
        <v>154</v>
      </c>
      <c r="B147" s="6" t="inlineStr">
        <is>
          <t>Shear-zone hosted</t>
        </is>
      </c>
      <c r="C147" s="6" t="inlineStr">
        <is>
          <t>G-01, D-10</t>
        </is>
      </c>
    </row>
    <row r="148">
      <c r="A148" s="6" t="n">
        <v>155</v>
      </c>
      <c r="B148" s="6" t="inlineStr">
        <is>
          <t>Feeder identified? "Source"</t>
        </is>
      </c>
      <c r="C148" s="6" t="inlineStr">
        <is>
          <t>G-10</t>
        </is>
      </c>
    </row>
    <row r="149">
      <c r="A149" s="6" t="n">
        <v>156</v>
      </c>
      <c r="B149" s="6" t="inlineStr">
        <is>
          <t>Dikes or Plutons near by</t>
        </is>
      </c>
      <c r="C149" s="6" t="inlineStr">
        <is>
          <t>G-10</t>
        </is>
      </c>
    </row>
    <row r="150">
      <c r="A150" s="6" t="n">
        <v>157</v>
      </c>
      <c r="B150" s="6" t="inlineStr">
        <is>
          <t>Technical Presentation available</t>
        </is>
      </c>
      <c r="C150" s="6" t="inlineStr">
        <is>
          <t>M-07</t>
        </is>
      </c>
    </row>
    <row r="151">
      <c r="A151" s="6" t="n">
        <v>159</v>
      </c>
      <c r="B151" s="6" t="inlineStr">
        <is>
          <t>Current program funded</t>
        </is>
      </c>
      <c r="C151" s="6" t="inlineStr">
        <is>
          <t>F-07</t>
        </is>
      </c>
    </row>
    <row r="152">
      <c r="A152" s="6" t="n">
        <v>160</v>
      </c>
      <c r="B152" s="6" t="inlineStr">
        <is>
          <t>Historical Drilling</t>
        </is>
      </c>
      <c r="C152" s="6" t="inlineStr">
        <is>
          <t>G-13</t>
        </is>
      </c>
    </row>
    <row r="153">
      <c r="A153" s="6" t="n">
        <v>161</v>
      </c>
      <c r="B153" s="6" t="inlineStr">
        <is>
          <t>Discovery Cost</t>
        </is>
      </c>
      <c r="C153" s="6" t="inlineStr">
        <is>
          <t>E-05</t>
        </is>
      </c>
    </row>
    <row r="154">
      <c r="A154" s="6" t="n">
        <v>162</v>
      </c>
      <c r="B154" s="6" t="inlineStr">
        <is>
          <t>Drilling Cost</t>
        </is>
      </c>
      <c r="C154" s="6" t="inlineStr">
        <is>
          <t>E-04</t>
        </is>
      </c>
    </row>
    <row r="155">
      <c r="A155" s="6" t="n">
        <v>163</v>
      </c>
      <c r="B155" s="6" t="inlineStr">
        <is>
          <t>Regional Exploration Program</t>
        </is>
      </c>
      <c r="C155" s="6" t="inlineStr">
        <is>
          <t>E-02</t>
        </is>
      </c>
    </row>
    <row r="156">
      <c r="A156" s="6" t="n">
        <v>164</v>
      </c>
      <c r="B156" s="6" t="inlineStr">
        <is>
          <t>Drilling Success Rate</t>
        </is>
      </c>
      <c r="C156" s="6" t="inlineStr">
        <is>
          <t>D-14</t>
        </is>
      </c>
    </row>
    <row r="157">
      <c r="A157" s="6" t="n">
        <v>165</v>
      </c>
      <c r="B157" s="6" t="inlineStr">
        <is>
          <t>Number of holes planned</t>
        </is>
      </c>
      <c r="C157" s="6" t="inlineStr">
        <is>
          <t>E-01, E-07</t>
        </is>
      </c>
    </row>
    <row r="158">
      <c r="A158" s="6" t="n">
        <v>166</v>
      </c>
      <c r="B158" s="6" t="inlineStr">
        <is>
          <t>Deep Holes</t>
        </is>
      </c>
      <c r="C158" s="6" t="inlineStr">
        <is>
          <t>D-16</t>
        </is>
      </c>
    </row>
    <row r="159">
      <c r="A159" s="6" t="n">
        <v>167</v>
      </c>
      <c r="B159" s="6" t="inlineStr">
        <is>
          <t>Discovery Drilling</t>
        </is>
      </c>
      <c r="C159" s="6" t="inlineStr">
        <is>
          <t>E-02, D-15</t>
        </is>
      </c>
    </row>
    <row r="160">
      <c r="A160" s="6" t="n">
        <v>168</v>
      </c>
      <c r="B160" s="6" t="inlineStr">
        <is>
          <t>Target Drilling (test other targets)</t>
        </is>
      </c>
      <c r="C160" s="6" t="inlineStr">
        <is>
          <t>E-02</t>
        </is>
      </c>
    </row>
    <row r="161">
      <c r="A161" s="6" t="n">
        <v>169</v>
      </c>
      <c r="B161" s="6" t="inlineStr">
        <is>
          <t>Step-out Drilling (Extension)</t>
        </is>
      </c>
      <c r="C161" s="6" t="inlineStr">
        <is>
          <t>E-02, D-15</t>
        </is>
      </c>
    </row>
    <row r="162">
      <c r="A162" s="6" t="n">
        <v>170</v>
      </c>
      <c r="B162" s="6" t="inlineStr">
        <is>
          <t>Spacing</t>
        </is>
      </c>
      <c r="C162" s="6" t="inlineStr">
        <is>
          <t>D-15, R-08</t>
        </is>
      </c>
    </row>
    <row r="163">
      <c r="A163" s="6" t="n">
        <v>171</v>
      </c>
      <c r="B163" s="6" t="inlineStr">
        <is>
          <t>Depth</t>
        </is>
      </c>
      <c r="C163" s="6" t="inlineStr">
        <is>
          <t>D-08</t>
        </is>
      </c>
    </row>
    <row r="164">
      <c r="A164" s="6" t="n">
        <v>172</v>
      </c>
      <c r="B164" s="6" t="inlineStr">
        <is>
          <t>In-fill Drilling</t>
        </is>
      </c>
      <c r="C164" s="6" t="inlineStr">
        <is>
          <t>E-02, R-08</t>
        </is>
      </c>
    </row>
    <row r="165">
      <c r="A165" s="6" t="n">
        <v>173</v>
      </c>
      <c r="B165" s="6" t="inlineStr">
        <is>
          <t>Spacing</t>
        </is>
      </c>
      <c r="C165" s="6" t="inlineStr">
        <is>
          <t>R-08</t>
        </is>
      </c>
    </row>
    <row r="166">
      <c r="A166" s="6" t="n">
        <v>174</v>
      </c>
      <c r="B166" s="6" t="inlineStr">
        <is>
          <t>Depth</t>
        </is>
      </c>
      <c r="C166" s="6" t="inlineStr">
        <is>
          <t>D-08</t>
        </is>
      </c>
    </row>
    <row r="167">
      <c r="A167" s="6" t="n">
        <v>175</v>
      </c>
      <c r="B167" s="6" t="inlineStr">
        <is>
          <t>Step-back deep drilling</t>
        </is>
      </c>
      <c r="C167" s="6" t="inlineStr">
        <is>
          <t>D-16</t>
        </is>
      </c>
    </row>
    <row r="168">
      <c r="A168" s="6" t="n">
        <v>176</v>
      </c>
      <c r="B168" s="6" t="inlineStr">
        <is>
          <t>Geo-Tech Drilling</t>
        </is>
      </c>
      <c r="C168" s="6" t="inlineStr">
        <is>
          <t>MP-13</t>
        </is>
      </c>
    </row>
    <row r="169">
      <c r="A169" s="6" t="n">
        <v>177</v>
      </c>
      <c r="B169" s="6" t="inlineStr">
        <is>
          <t>Grade Control Drilling</t>
        </is>
      </c>
      <c r="C169" s="6" t="inlineStr">
        <is>
          <t>dropped (production-stage activity)</t>
        </is>
      </c>
    </row>
    <row r="170">
      <c r="A170" s="6" t="n">
        <v>178</v>
      </c>
      <c r="B170" s="6" t="inlineStr">
        <is>
          <t>Conversion Drilling</t>
        </is>
      </c>
      <c r="C170" s="6" t="inlineStr">
        <is>
          <t>E-02</t>
        </is>
      </c>
    </row>
    <row r="171">
      <c r="A171" s="6" t="n">
        <v>179</v>
      </c>
      <c r="B171" s="6" t="inlineStr">
        <is>
          <t>Near Surface Testing</t>
        </is>
      </c>
      <c r="C171" s="6" t="inlineStr">
        <is>
          <t>D-16</t>
        </is>
      </c>
    </row>
    <row r="172">
      <c r="A172" s="6" t="n">
        <v>181</v>
      </c>
      <c r="B172" s="6" t="inlineStr">
        <is>
          <t>Cut-off Grade</t>
        </is>
      </c>
      <c r="C172" s="6" t="inlineStr">
        <is>
          <t>R-04</t>
        </is>
      </c>
    </row>
    <row r="173">
      <c r="A173" s="6" t="n">
        <v>182</v>
      </c>
      <c r="B173" s="6" t="inlineStr">
        <is>
          <t>M&amp;I Gold Ore Tonnes</t>
        </is>
      </c>
      <c r="C173" s="6" t="inlineStr">
        <is>
          <t>R-01</t>
        </is>
      </c>
    </row>
    <row r="174">
      <c r="A174" s="6" t="n">
        <v>183</v>
      </c>
      <c r="B174" s="6" t="inlineStr">
        <is>
          <t>M&amp;I Gold Grade</t>
        </is>
      </c>
      <c r="C174" s="6" t="inlineStr">
        <is>
          <t>R-01</t>
        </is>
      </c>
    </row>
    <row r="175">
      <c r="A175" s="6" t="n">
        <v>184</v>
      </c>
      <c r="B175" s="6" t="inlineStr">
        <is>
          <t>M&amp;I Gold Resource Oz</t>
        </is>
      </c>
      <c r="C175" s="6" t="inlineStr">
        <is>
          <t>R-01</t>
        </is>
      </c>
    </row>
    <row r="176">
      <c r="A176" s="6" t="n">
        <v>185</v>
      </c>
      <c r="B176" s="6" t="inlineStr">
        <is>
          <t>Inferred Tonnes</t>
        </is>
      </c>
      <c r="C176" s="6" t="inlineStr">
        <is>
          <t>R-01</t>
        </is>
      </c>
    </row>
    <row r="177">
      <c r="A177" s="6" t="n">
        <v>186</v>
      </c>
      <c r="B177" s="6" t="inlineStr">
        <is>
          <t>Inferred Grade</t>
        </is>
      </c>
      <c r="C177" s="6" t="inlineStr">
        <is>
          <t>R-01</t>
        </is>
      </c>
    </row>
    <row r="178">
      <c r="A178" s="6" t="n">
        <v>187</v>
      </c>
      <c r="B178" s="6" t="inlineStr">
        <is>
          <t>Inferred Oz</t>
        </is>
      </c>
      <c r="C178" s="6" t="inlineStr">
        <is>
          <t>R-01</t>
        </is>
      </c>
    </row>
    <row r="179">
      <c r="A179" s="6" t="n">
        <v>188</v>
      </c>
      <c r="B179" s="6" t="inlineStr">
        <is>
          <t>Pit constrained Resource</t>
        </is>
      </c>
      <c r="C179" s="6" t="inlineStr">
        <is>
          <t>R-06</t>
        </is>
      </c>
    </row>
    <row r="180">
      <c r="A180" s="6" t="n">
        <v>189</v>
      </c>
      <c r="B180" s="6" t="inlineStr">
        <is>
          <t>Depth current mineral resource</t>
        </is>
      </c>
      <c r="C180" s="6" t="inlineStr">
        <is>
          <t>R-11</t>
        </is>
      </c>
    </row>
    <row r="181">
      <c r="A181" s="6" t="n">
        <v>190</v>
      </c>
      <c r="B181" s="6" t="inlineStr">
        <is>
          <t>Open at depth/ Down plunge/ Down Dip</t>
        </is>
      </c>
      <c r="C181" s="6" t="inlineStr">
        <is>
          <t>R-12</t>
        </is>
      </c>
    </row>
    <row r="182">
      <c r="A182" s="6" t="n">
        <v>191</v>
      </c>
      <c r="B182" s="6" t="inlineStr">
        <is>
          <t>Open along strike</t>
        </is>
      </c>
      <c r="C182" s="6" t="inlineStr">
        <is>
          <t>R-13</t>
        </is>
      </c>
    </row>
    <row r="183">
      <c r="A183" s="6" t="n">
        <v>192</v>
      </c>
      <c r="B183" s="6" t="inlineStr">
        <is>
          <t>Cross Sections available</t>
        </is>
      </c>
      <c r="C183" s="6" t="inlineStr">
        <is>
          <t>R-14</t>
        </is>
      </c>
    </row>
    <row r="184">
      <c r="A184" s="6" t="n">
        <v>193</v>
      </c>
      <c r="B184" s="6" t="inlineStr">
        <is>
          <t>Meters drilled vs. Resource Size</t>
        </is>
      </c>
      <c r="C184" s="6" t="inlineStr">
        <is>
          <t>R-10</t>
        </is>
      </c>
    </row>
    <row r="185">
      <c r="A185" s="6" t="n">
        <v>194</v>
      </c>
      <c r="B185" s="6" t="inlineStr">
        <is>
          <t>Specific Density of Ore (ROM)</t>
        </is>
      </c>
      <c r="C185" s="6" t="inlineStr">
        <is>
          <t>R-09</t>
        </is>
      </c>
    </row>
    <row r="186">
      <c r="A186" s="6" t="n">
        <v>195</v>
      </c>
      <c r="B186" s="6" t="inlineStr">
        <is>
          <t>UG Potential</t>
        </is>
      </c>
      <c r="C186" s="6" t="inlineStr">
        <is>
          <t>R-17</t>
        </is>
      </c>
    </row>
    <row r="187">
      <c r="A187" s="6" t="n">
        <v>196</v>
      </c>
      <c r="B187" s="6" t="inlineStr">
        <is>
          <t>OC Potential</t>
        </is>
      </c>
      <c r="C187" s="6" t="inlineStr">
        <is>
          <t>R-18</t>
        </is>
      </c>
    </row>
  </sheetData>
  <mergeCells count="1">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2026-09-14T20:51:52Z</dcterms:created>
  <dcterms:modified xsi:type="dcterms:W3CDTF">2026-09-14T20:51:52Z</dcterms:modified>
</cp:coreProperties>
</file>